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elicoza.sharepoint.com/sites/marketing/Shared Documents/02. Tips and Tricks/"/>
    </mc:Choice>
  </mc:AlternateContent>
  <xr:revisionPtr revIDLastSave="407" documentId="8_{9B173E8B-E248-4A06-81A3-A92893093299}" xr6:coauthVersionLast="47" xr6:coauthVersionMax="47" xr10:uidLastSave="{48993B38-26CB-4068-9270-F0A65BDF90AC}"/>
  <workbookProtection workbookAlgorithmName="SHA-512" workbookHashValue="/U8JAWQUPUIv9Qof//zTCh5JVsRycBq8ywX/VmwTMwfXPVPfQXwiKD0XAbucXj12Ng+5x4zuBJEgXbtv9hS+zw==" workbookSaltValue="+blqAmnKWDItsoGU3BhIBA==" workbookSpinCount="100000" lockStructure="1"/>
  <bookViews>
    <workbookView xWindow="20370" yWindow="-8340" windowWidth="29040" windowHeight="15840" tabRatio="736" xr2:uid="{E038A202-80CA-4723-B12D-DAC7677CE092}"/>
  </bookViews>
  <sheets>
    <sheet name="General Input Data" sheetId="1" r:id="rId1"/>
    <sheet name="General 51-30 Benefit Table" sheetId="2" r:id="rId2"/>
    <sheet name="Contractor Input Data" sheetId="3" r:id="rId3"/>
    <sheet name="Contractor 51-35 Benefit Table" sheetId="4" r:id="rId4"/>
    <sheet name="BEP Input Data" sheetId="6" r:id="rId5"/>
    <sheet name="BEP 51-35 Benefit Table" sheetId="8" r:id="rId6"/>
  </sheets>
  <definedNames>
    <definedName name="_xlnm.Print_Area" localSheetId="5">'BEP 51-35 Benefit Table'!$A$1:$L$28</definedName>
    <definedName name="_xlnm.Print_Area" localSheetId="3">'Contractor 51-35 Benefit Table'!$A$1:$L$28</definedName>
    <definedName name="_xlnm.Print_Area" localSheetId="1">'General 51-30 Benefit Table'!$A$1:$L$28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O10" i="1" l="1"/>
  <c r="P10" i="1" s="1"/>
  <c r="O9" i="1"/>
  <c r="P9" i="1" s="1"/>
  <c r="O8" i="1"/>
  <c r="P8" i="1" s="1"/>
  <c r="D22" i="6" l="1"/>
  <c r="E22" i="6" s="1"/>
  <c r="D22" i="3"/>
  <c r="E22" i="3" s="1"/>
  <c r="D21" i="6"/>
  <c r="E21" i="6" s="1"/>
  <c r="D20" i="6"/>
  <c r="E20" i="6" s="1"/>
  <c r="O19" i="6"/>
  <c r="P19" i="6" s="1"/>
  <c r="D19" i="6"/>
  <c r="E19" i="6" s="1"/>
  <c r="I4" i="6"/>
  <c r="H4" i="6"/>
  <c r="G4" i="6"/>
  <c r="I3" i="6"/>
  <c r="H3" i="6"/>
  <c r="J3" i="6" s="1"/>
  <c r="L3" i="6" s="1"/>
  <c r="G3" i="6"/>
  <c r="D21" i="3"/>
  <c r="E21" i="3" s="1"/>
  <c r="D20" i="3"/>
  <c r="E20" i="3" s="1"/>
  <c r="D19" i="3"/>
  <c r="E19" i="3" s="1"/>
  <c r="I4" i="3"/>
  <c r="H4" i="3"/>
  <c r="G4" i="3"/>
  <c r="I3" i="3"/>
  <c r="H3" i="3"/>
  <c r="J3" i="3" s="1"/>
  <c r="L3" i="3" s="1"/>
  <c r="G3" i="3"/>
  <c r="H3" i="1"/>
  <c r="I4" i="1"/>
  <c r="J4" i="1"/>
  <c r="J3" i="1"/>
  <c r="I3" i="1"/>
  <c r="K3" i="1" l="1"/>
  <c r="J4" i="3"/>
  <c r="L4" i="3" s="1"/>
  <c r="J4" i="6"/>
  <c r="L4" i="6" s="1"/>
  <c r="N4" i="6" s="1"/>
  <c r="P4" i="6" s="1"/>
  <c r="R4" i="6" s="1"/>
  <c r="O21" i="6" s="1"/>
  <c r="P21" i="6" s="1"/>
  <c r="N3" i="6"/>
  <c r="P3" i="6" s="1"/>
  <c r="R3" i="6" s="1"/>
  <c r="D18" i="6" s="1"/>
  <c r="E18" i="6" s="1"/>
  <c r="E16" i="6" s="1"/>
  <c r="F16" i="6" s="1"/>
  <c r="N3" i="3"/>
  <c r="P3" i="3" s="1"/>
  <c r="R3" i="3" s="1"/>
  <c r="D18" i="3" s="1"/>
  <c r="N4" i="3"/>
  <c r="P4" i="3" s="1"/>
  <c r="R4" i="3" s="1"/>
  <c r="O19" i="3" s="1"/>
  <c r="P19" i="3" s="1"/>
  <c r="K4" i="1"/>
  <c r="O3" i="1"/>
  <c r="Q3" i="1" s="1"/>
  <c r="H4" i="1"/>
  <c r="O18" i="6" l="1"/>
  <c r="P18" i="6" s="1"/>
  <c r="O20" i="6"/>
  <c r="P20" i="6" s="1"/>
  <c r="O22" i="6"/>
  <c r="P22" i="6" s="1"/>
  <c r="E18" i="3"/>
  <c r="E16" i="3" s="1"/>
  <c r="G13" i="6"/>
  <c r="B8" i="6" s="1"/>
  <c r="O20" i="3"/>
  <c r="P20" i="3" s="1"/>
  <c r="O22" i="3"/>
  <c r="P22" i="3" s="1"/>
  <c r="O21" i="3"/>
  <c r="P21" i="3" s="1"/>
  <c r="O18" i="3"/>
  <c r="P18" i="3" s="1"/>
  <c r="S3" i="1"/>
  <c r="O4" i="1"/>
  <c r="Q4" i="1" s="1"/>
  <c r="D20" i="1" l="1"/>
  <c r="E20" i="1" s="1"/>
  <c r="D23" i="1"/>
  <c r="E23" i="1" s="1"/>
  <c r="S4" i="1"/>
  <c r="O19" i="1" s="1"/>
  <c r="P19" i="1" s="1"/>
  <c r="D19" i="1"/>
  <c r="E19" i="1" s="1"/>
  <c r="P16" i="6"/>
  <c r="Q16" i="6" s="1"/>
  <c r="F16" i="3"/>
  <c r="G13" i="3"/>
  <c r="B8" i="3" s="1"/>
  <c r="S3" i="6"/>
  <c r="P16" i="3"/>
  <c r="R13" i="3" s="1"/>
  <c r="D18" i="1"/>
  <c r="E18" i="1" s="1"/>
  <c r="D21" i="1"/>
  <c r="E21" i="1" s="1"/>
  <c r="O22" i="1" l="1"/>
  <c r="P22" i="1" s="1"/>
  <c r="D22" i="1"/>
  <c r="E22" i="1" s="1"/>
  <c r="E16" i="1" s="1"/>
  <c r="G13" i="1" s="1"/>
  <c r="O23" i="1"/>
  <c r="P23" i="1" s="1"/>
  <c r="O20" i="1"/>
  <c r="P20" i="1" s="1"/>
  <c r="O18" i="1"/>
  <c r="P18" i="1" s="1"/>
  <c r="O21" i="1"/>
  <c r="P21" i="1" s="1"/>
  <c r="R13" i="6"/>
  <c r="S4" i="6" s="1"/>
  <c r="T4" i="6" s="1"/>
  <c r="S3" i="3"/>
  <c r="Q16" i="3"/>
  <c r="B9" i="3"/>
  <c r="C9" i="3" s="1"/>
  <c r="S4" i="3"/>
  <c r="B8" i="1" l="1"/>
  <c r="T3" i="1"/>
  <c r="P16" i="1"/>
  <c r="Q16" i="1" s="1"/>
  <c r="B9" i="6"/>
  <c r="C9" i="6" s="1"/>
  <c r="T4" i="3"/>
  <c r="F16" i="1"/>
  <c r="R13" i="1" l="1"/>
  <c r="T4" i="1" s="1"/>
  <c r="U4" i="1" s="1"/>
  <c r="B9" i="1" l="1"/>
  <c r="C9" i="1" s="1"/>
</calcChain>
</file>

<file path=xl/sharedStrings.xml><?xml version="1.0" encoding="utf-8"?>
<sst xmlns="http://schemas.openxmlformats.org/spreadsheetml/2006/main" count="237" uniqueCount="76">
  <si>
    <t xml:space="preserve">GENERAL GENERIC SCORECARD </t>
  </si>
  <si>
    <t>Black ownership</t>
  </si>
  <si>
    <t>Black Woman Ownership</t>
  </si>
  <si>
    <t>EME</t>
  </si>
  <si>
    <t>QSE</t>
  </si>
  <si>
    <t>BBBEE Level</t>
  </si>
  <si>
    <t>Procurement Recognition (PR)</t>
  </si>
  <si>
    <t>3 Year Contract for ESD Beneficiary</t>
  </si>
  <si>
    <t>Ownership Using Flow Through</t>
  </si>
  <si>
    <t>Actual Spend with Supplier</t>
  </si>
  <si>
    <t>BBBEE Spend</t>
  </si>
  <si>
    <t>TMPS of ME</t>
  </si>
  <si>
    <t>Actual</t>
  </si>
  <si>
    <t>Pref Proc. Score</t>
  </si>
  <si>
    <t>Difference</t>
  </si>
  <si>
    <t>Supplier A</t>
  </si>
  <si>
    <t>NO</t>
  </si>
  <si>
    <t>YES</t>
  </si>
  <si>
    <t>Supplier B</t>
  </si>
  <si>
    <t>Untransformed Supplier</t>
  </si>
  <si>
    <t>Transformed Supplier</t>
  </si>
  <si>
    <t>Preferential Procurement Score attained by the Untransformed Supplier</t>
  </si>
  <si>
    <t>Preferential Procurement Score attained by the Transformed Supplier</t>
  </si>
  <si>
    <t>AMENDED GENERAL GENERIC CODES</t>
  </si>
  <si>
    <t>Subminimum of 10 points (40%)</t>
  </si>
  <si>
    <t>Preferential Procurement New Codes</t>
  </si>
  <si>
    <t>Points Allocated</t>
  </si>
  <si>
    <t>Target</t>
  </si>
  <si>
    <t>Points Scored</t>
  </si>
  <si>
    <t>BEE spend from all empowering suppliers based on BBBEE procurement recognition as a % of Total Measured Procurement Spend</t>
  </si>
  <si>
    <t>BEE spend from QSE's (empowering suppliers) based on BBBEE procurement recognition as a % of Total Measured Procurement Spend</t>
  </si>
  <si>
    <t>BEE spend from EME's (Empowering Suppliers) based on BBBEE procurement recognition as a % of Total Measured Procurement Spend</t>
  </si>
  <si>
    <t>BEE spend from 51% Black owned companies (empowering suppliers) based on BBBEE procurement recognition as a % of Total Measured Procurement Spend</t>
  </si>
  <si>
    <r>
      <t xml:space="preserve">BEE spend from 30% Black Woman owned companies </t>
    </r>
    <r>
      <rPr>
        <b/>
        <sz val="11"/>
        <rFont val="Calibri"/>
        <family val="2"/>
      </rPr>
      <t>(empowering suppliers) based on BBBEE procurement recognition as a % of Total Measured Procurement Spend</t>
    </r>
  </si>
  <si>
    <t>B-BBEE Status</t>
  </si>
  <si>
    <t>Current Codes</t>
  </si>
  <si>
    <t>New Codes</t>
  </si>
  <si>
    <t>procurement recognition</t>
  </si>
  <si>
    <t>Non-Compliant</t>
  </si>
  <si>
    <t>Total Procurement Recognition</t>
  </si>
  <si>
    <t>Qualifying as ESD Beneficiary</t>
  </si>
  <si>
    <t>3 year contract multiplier applied</t>
  </si>
  <si>
    <t>Black Owned</t>
  </si>
  <si>
    <t>SMME</t>
  </si>
  <si>
    <t>Subminimum of 10.8 points (40%)</t>
  </si>
  <si>
    <r>
      <rPr>
        <b/>
        <sz val="20"/>
        <color rgb="FFFF0000"/>
        <rFont val="Calibri"/>
        <family val="2"/>
        <scheme val="minor"/>
      </rPr>
      <t>GENERAL GENERIC SCORECARD</t>
    </r>
    <r>
      <rPr>
        <b/>
        <sz val="20"/>
        <color theme="1"/>
        <rFont val="Calibri"/>
        <family val="2"/>
        <scheme val="minor"/>
      </rPr>
      <t xml:space="preserve">
% IMPROVEMENT RECOGNITION OF A TRANSFORMED COMPANY (51% BLACK AND 30% BLACK WOMAN OWNED) RELATIVE TO AN UNTRANSFORMED COMPANY</t>
    </r>
  </si>
  <si>
    <t>TRANSFORMED SUPPLIER (51% BLACK AND 30% BLACK WOMAN OWNERSHIP)</t>
  </si>
  <si>
    <t>UNTRANSFORMED SUPPLIER (LESS THAN 51% BLACK AND 30% BLACK WOMAN OWNERSHIP)</t>
  </si>
  <si>
    <t>BBBEE LEVEL</t>
  </si>
  <si>
    <t>UPDATED LEGISLATION 31 MAY 2019 - MAXIMUM BENEFIT</t>
  </si>
  <si>
    <t>UPDATED LEGISLATION 31 MAY 2019 -MINIMUM BENEFIT</t>
  </si>
  <si>
    <t xml:space="preserve">CONTRACTOR GENERIC SCORECARD </t>
  </si>
  <si>
    <t>BEE spend from 35% Black Woman owned companies (empowering suppliers) based on BBBEE procurement recognition as a % of Total Measured Procurement Spend</t>
  </si>
  <si>
    <t>AMENDED CONTRACTOR GENERIC CODES</t>
  </si>
  <si>
    <t>First Time Supplier</t>
  </si>
  <si>
    <r>
      <rPr>
        <b/>
        <sz val="20"/>
        <color rgb="FFFF0000"/>
        <rFont val="Calibri"/>
        <family val="2"/>
        <scheme val="minor"/>
      </rPr>
      <t xml:space="preserve">CONTRACTOR GENEREIC SCORECARD </t>
    </r>
    <r>
      <rPr>
        <b/>
        <sz val="20"/>
        <color theme="1"/>
        <rFont val="Calibri"/>
        <family val="2"/>
        <scheme val="minor"/>
      </rPr>
      <t xml:space="preserve">
% IMPROVEMENT RECOGNITION OF A TRANSFORMED COMPANY (51% BLACK AND 35% BLACK WOMAN OWNED) RELATIVE TO AN UNTRANSFORMED COMPANY</t>
    </r>
  </si>
  <si>
    <t>TRANSFORMED SUPPLIER (51% BLACK AND 35% BLACK WOMAN OWNERSHIP)</t>
  </si>
  <si>
    <t>UNTRANSFORMED SUPPLIER (LESS THAN 51% BLACK AND 35% BLACK WOMAN OWNERSHIP)</t>
  </si>
  <si>
    <t xml:space="preserve">BEP GENERIC SCORECARD </t>
  </si>
  <si>
    <t>AMENDED BEP GENERIC CODES</t>
  </si>
  <si>
    <r>
      <rPr>
        <b/>
        <sz val="20"/>
        <color rgb="FFFF0000"/>
        <rFont val="Calibri"/>
        <family val="2"/>
        <scheme val="minor"/>
      </rPr>
      <t xml:space="preserve">BEP GENEREIC SCORECARD </t>
    </r>
    <r>
      <rPr>
        <b/>
        <sz val="20"/>
        <color theme="1"/>
        <rFont val="Calibri"/>
        <family val="2"/>
        <scheme val="minor"/>
      </rPr>
      <t xml:space="preserve">
% IMPROVEMENT RECOGNITION OF A TRANSFORMED COMPANY (51% BLACK AND 35% BLACK WOMAN OWNED) RELATIVE TO AN UNTRANSFORMED COMPANY</t>
    </r>
  </si>
  <si>
    <t>UPDATED CONTRACTOR LEGISLATION - MAXIMUM BENEFIT</t>
  </si>
  <si>
    <t>UPDATED BEP LEGISLATION - MAXIMUM BENEFIT</t>
  </si>
  <si>
    <t>BEE spend from Designated Group Suppliers that are at least 51% Black Owned</t>
  </si>
  <si>
    <t>51% Black Designated</t>
  </si>
  <si>
    <t>NPAT</t>
  </si>
  <si>
    <t>Supplier Development</t>
  </si>
  <si>
    <t>Enterprise Development</t>
  </si>
  <si>
    <t>SED</t>
  </si>
  <si>
    <t>2% of NPAT</t>
  </si>
  <si>
    <t>1% of NPAT</t>
  </si>
  <si>
    <t>Points on Offer</t>
  </si>
  <si>
    <t>Cost Per Point</t>
  </si>
  <si>
    <t>Recognised Value Target</t>
  </si>
  <si>
    <t>Company 1</t>
  </si>
  <si>
    <t>Company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</si>
</sst>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&quot;R&quot;\ #,##0.00"/>
    <numFmt numFmtId="166" formatCode="&quot;R&quot;#,##0.00"/>
    <numFmt numFmtId="167" formatCode="0.000000"/>
    <numFmt numFmtId="168" formatCode="0.0000%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36"/>
      <color theme="1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6632"/>
        <bgColor indexed="64"/>
      </patternFill>
    </fill>
    <fill>
      <patternFill patternType="solid">
        <fgColor rgb="FFD59E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21E36"/>
        <bgColor indexed="64"/>
      </patternFill>
    </fill>
    <fill>
      <patternFill patternType="solid">
        <fgColor rgb="FFFA962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4F2D7F"/>
      </left>
      <right style="medium">
        <color rgb="FF4F2D7F"/>
      </right>
      <top style="thick">
        <color rgb="FF4F2D7F"/>
      </top>
      <bottom style="medium">
        <color rgb="FF4F2D7F"/>
      </bottom>
      <diagonal/>
    </border>
    <border>
      <left style="medium">
        <color rgb="FF4F2D7F"/>
      </left>
      <right style="medium">
        <color rgb="FF4F2D7F"/>
      </right>
      <top style="medium">
        <color rgb="FF4F2D7F"/>
      </top>
      <bottom style="medium">
        <color rgb="FF4F2D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/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9" fontId="0" fillId="6" borderId="1" xfId="0" applyNumberFormat="1" applyFill="1" applyBorder="1" applyAlignment="1" applyProtection="1">
      <alignment horizontal="center" vertical="center"/>
      <protection locked="0"/>
    </xf>
    <xf numFmtId="10" fontId="0" fillId="6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65" fontId="0" fillId="6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  <xf numFmtId="2" fontId="3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 applyProtection="1">
      <alignment horizontal="center" vertical="center"/>
      <protection hidden="1"/>
    </xf>
    <xf numFmtId="0" fontId="3" fillId="2" borderId="0" xfId="0" applyFont="1" applyFill="1"/>
    <xf numFmtId="9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 vertical="top"/>
    </xf>
    <xf numFmtId="0" fontId="3" fillId="5" borderId="1" xfId="0" applyFont="1" applyFill="1" applyBorder="1" applyProtection="1"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10" fontId="0" fillId="2" borderId="0" xfId="0" applyNumberFormat="1" applyFill="1" applyAlignment="1" applyProtection="1">
      <alignment horizontal="center" vertical="top"/>
      <protection hidden="1"/>
    </xf>
    <xf numFmtId="165" fontId="0" fillId="2" borderId="0" xfId="0" applyNumberFormat="1" applyFill="1" applyAlignment="1" applyProtection="1">
      <alignment horizontal="center"/>
      <protection hidden="1"/>
    </xf>
    <xf numFmtId="10" fontId="0" fillId="2" borderId="0" xfId="0" applyNumberForma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0" fontId="3" fillId="9" borderId="1" xfId="0" applyFont="1" applyFill="1" applyBorder="1" applyAlignment="1" applyProtection="1">
      <alignment vertical="center"/>
      <protection hidden="1"/>
    </xf>
    <xf numFmtId="2" fontId="3" fillId="7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65" fontId="6" fillId="2" borderId="0" xfId="1" applyNumberFormat="1" applyFont="1" applyFill="1" applyAlignment="1" applyProtection="1">
      <alignment horizontal="center"/>
      <protection hidden="1"/>
    </xf>
    <xf numFmtId="2" fontId="3" fillId="8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9" fontId="0" fillId="2" borderId="0" xfId="0" applyNumberForma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2" fontId="8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Protection="1">
      <protection hidden="1"/>
    </xf>
    <xf numFmtId="0" fontId="9" fillId="2" borderId="6" xfId="0" applyFont="1" applyFill="1" applyBorder="1" applyAlignment="1" applyProtection="1">
      <alignment wrapText="1"/>
      <protection hidden="1"/>
    </xf>
    <xf numFmtId="0" fontId="0" fillId="2" borderId="6" xfId="0" applyFill="1" applyBorder="1" applyProtection="1"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2" fontId="3" fillId="5" borderId="10" xfId="0" applyNumberFormat="1" applyFont="1" applyFill="1" applyBorder="1" applyAlignment="1" applyProtection="1">
      <alignment horizontal="center" vertical="center"/>
      <protection hidden="1"/>
    </xf>
    <xf numFmtId="10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1" fillId="5" borderId="9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5" borderId="1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9" fontId="0" fillId="2" borderId="14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9" fontId="0" fillId="2" borderId="0" xfId="0" applyNumberFormat="1" applyFill="1"/>
    <xf numFmtId="9" fontId="0" fillId="0" borderId="0" xfId="0" applyNumberFormat="1"/>
    <xf numFmtId="0" fontId="13" fillId="0" borderId="15" xfId="0" applyFont="1" applyBorder="1" applyAlignment="1">
      <alignment horizontal="center" vertical="center" wrapText="1" readingOrder="1"/>
    </xf>
    <xf numFmtId="0" fontId="13" fillId="8" borderId="15" xfId="0" applyFont="1" applyFill="1" applyBorder="1" applyAlignment="1">
      <alignment horizontal="center" vertical="center" wrapText="1" readingOrder="1"/>
    </xf>
    <xf numFmtId="0" fontId="13" fillId="7" borderId="15" xfId="0" applyFont="1" applyFill="1" applyBorder="1" applyAlignment="1">
      <alignment horizontal="center" vertical="center" wrapText="1" readingOrder="1"/>
    </xf>
    <xf numFmtId="0" fontId="3" fillId="0" borderId="16" xfId="0" applyFont="1" applyBorder="1"/>
    <xf numFmtId="0" fontId="13" fillId="0" borderId="16" xfId="0" applyFont="1" applyBorder="1" applyAlignment="1">
      <alignment horizontal="left" vertical="center" wrapText="1" readingOrder="1"/>
    </xf>
    <xf numFmtId="2" fontId="0" fillId="0" borderId="16" xfId="0" applyNumberFormat="1" applyBorder="1"/>
    <xf numFmtId="0" fontId="14" fillId="0" borderId="16" xfId="0" applyFont="1" applyBorder="1" applyAlignment="1">
      <alignment horizontal="center" vertical="center" wrapText="1" readingOrder="1"/>
    </xf>
    <xf numFmtId="9" fontId="0" fillId="0" borderId="16" xfId="0" applyNumberFormat="1" applyBorder="1"/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vertical="center"/>
      <protection hidden="1"/>
    </xf>
    <xf numFmtId="10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textRotation="90" wrapText="1"/>
      <protection hidden="1"/>
    </xf>
    <xf numFmtId="9" fontId="0" fillId="2" borderId="0" xfId="0" applyNumberFormat="1" applyFill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vertical="center"/>
    </xf>
    <xf numFmtId="2" fontId="0" fillId="2" borderId="1" xfId="0" applyNumberFormat="1" applyFont="1" applyFill="1" applyBorder="1" applyAlignment="1" applyProtection="1">
      <alignment horizontal="center" vertical="center"/>
      <protection hidden="1"/>
    </xf>
    <xf numFmtId="10" fontId="0" fillId="2" borderId="22" xfId="0" applyNumberFormat="1" applyFill="1" applyBorder="1" applyAlignment="1" applyProtection="1">
      <alignment horizontal="center"/>
      <protection hidden="1"/>
    </xf>
    <xf numFmtId="10" fontId="0" fillId="2" borderId="0" xfId="0" applyNumberFormat="1" applyFill="1" applyBorder="1" applyAlignment="1" applyProtection="1">
      <alignment horizontal="center"/>
      <protection hidden="1"/>
    </xf>
    <xf numFmtId="166" fontId="3" fillId="2" borderId="24" xfId="0" applyNumberFormat="1" applyFont="1" applyFill="1" applyBorder="1" applyAlignment="1" applyProtection="1">
      <alignment horizontal="center" vertical="center"/>
      <protection hidden="1"/>
    </xf>
    <xf numFmtId="10" fontId="0" fillId="2" borderId="13" xfId="0" applyNumberFormat="1" applyFill="1" applyBorder="1" applyAlignment="1" applyProtection="1">
      <alignment horizontal="center"/>
      <protection hidden="1"/>
    </xf>
    <xf numFmtId="2" fontId="0" fillId="2" borderId="26" xfId="0" applyNumberFormat="1" applyFont="1" applyFill="1" applyBorder="1" applyAlignment="1" applyProtection="1">
      <alignment horizontal="center" vertical="center"/>
      <protection hidden="1"/>
    </xf>
    <xf numFmtId="166" fontId="3" fillId="2" borderId="27" xfId="0" applyNumberFormat="1" applyFont="1" applyFill="1" applyBorder="1" applyAlignment="1" applyProtection="1">
      <alignment horizontal="center" vertical="center"/>
      <protection hidden="1"/>
    </xf>
    <xf numFmtId="166" fontId="3" fillId="6" borderId="23" xfId="0" applyNumberFormat="1" applyFont="1" applyFill="1" applyBorder="1" applyAlignment="1" applyProtection="1">
      <alignment horizontal="center" vertical="center"/>
      <protection locked="0"/>
    </xf>
    <xf numFmtId="167" fontId="3" fillId="7" borderId="1" xfId="0" applyNumberFormat="1" applyFont="1" applyFill="1" applyBorder="1" applyAlignment="1" applyProtection="1">
      <alignment horizontal="center" vertical="center"/>
      <protection hidden="1"/>
    </xf>
    <xf numFmtId="168" fontId="0" fillId="2" borderId="0" xfId="0" applyNumberFormat="1" applyFill="1" applyAlignment="1" applyProtection="1">
      <alignment horizontal="center" vertical="top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textRotation="90" wrapText="1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1" fillId="10" borderId="21" xfId="0" applyFont="1" applyFill="1" applyBorder="1" applyAlignment="1" applyProtection="1">
      <alignment horizontal="center" vertical="center" wrapText="1"/>
      <protection hidden="1"/>
    </xf>
    <xf numFmtId="0" fontId="18" fillId="10" borderId="2" xfId="0" applyFont="1" applyFill="1" applyBorder="1" applyAlignment="1" applyProtection="1">
      <alignment horizontal="center" vertical="center"/>
      <protection hidden="1"/>
    </xf>
    <xf numFmtId="0" fontId="18" fillId="10" borderId="3" xfId="0" applyFont="1" applyFill="1" applyBorder="1" applyAlignment="1" applyProtection="1">
      <alignment horizontal="center" vertical="center"/>
      <protection hidden="1"/>
    </xf>
    <xf numFmtId="2" fontId="19" fillId="10" borderId="20" xfId="0" applyNumberFormat="1" applyFont="1" applyFill="1" applyBorder="1" applyAlignment="1" applyProtection="1">
      <alignment horizontal="center" vertical="center" wrapText="1"/>
      <protection hidden="1"/>
    </xf>
    <xf numFmtId="0" fontId="17" fillId="10" borderId="0" xfId="0" applyFont="1" applyFill="1"/>
    <xf numFmtId="0" fontId="18" fillId="10" borderId="3" xfId="0" applyFont="1" applyFill="1" applyBorder="1" applyAlignment="1" applyProtection="1">
      <alignment vertical="center"/>
      <protection hidden="1"/>
    </xf>
    <xf numFmtId="0" fontId="1" fillId="10" borderId="1" xfId="0" applyFont="1" applyFill="1" applyBorder="1" applyProtection="1"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11" borderId="9" xfId="0" applyFont="1" applyFill="1" applyBorder="1" applyAlignment="1" applyProtection="1">
      <alignment horizontal="center" vertical="center"/>
      <protection hidden="1"/>
    </xf>
    <xf numFmtId="0" fontId="3" fillId="11" borderId="25" xfId="0" applyFont="1" applyFill="1" applyBorder="1" applyAlignment="1" applyProtection="1">
      <alignment horizontal="center" vertical="center"/>
      <protection hidden="1"/>
    </xf>
    <xf numFmtId="0" fontId="3" fillId="11" borderId="9" xfId="0" applyFont="1" applyFill="1" applyBorder="1" applyAlignment="1" applyProtection="1">
      <alignment horizontal="center" vertical="center" wrapText="1"/>
      <protection hidden="1"/>
    </xf>
    <xf numFmtId="2" fontId="3" fillId="11" borderId="10" xfId="0" applyNumberFormat="1" applyFont="1" applyFill="1" applyBorder="1" applyAlignment="1" applyProtection="1">
      <alignment horizontal="center" vertical="center"/>
      <protection hidden="1"/>
    </xf>
    <xf numFmtId="10" fontId="10" fillId="11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11" borderId="1" xfId="0" applyFont="1" applyFill="1" applyBorder="1" applyAlignment="1" applyProtection="1">
      <alignment horizontal="center" vertical="center" wrapText="1"/>
      <protection hidden="1"/>
    </xf>
    <xf numFmtId="0" fontId="3" fillId="11" borderId="11" xfId="0" applyFont="1" applyFill="1" applyBorder="1" applyAlignment="1" applyProtection="1">
      <alignment horizontal="center" vertical="center" wrapText="1"/>
      <protection hidden="1"/>
    </xf>
    <xf numFmtId="0" fontId="11" fillId="11" borderId="9" xfId="0" applyFont="1" applyFill="1" applyBorder="1" applyAlignment="1" applyProtection="1">
      <alignment horizontal="center" vertical="center" wrapText="1"/>
      <protection hidden="1"/>
    </xf>
    <xf numFmtId="0" fontId="11" fillId="11" borderId="11" xfId="0" applyFont="1" applyFill="1" applyBorder="1" applyAlignment="1" applyProtection="1">
      <alignment horizontal="center" vertical="center" wrapText="1"/>
      <protection hidden="1"/>
    </xf>
    <xf numFmtId="2" fontId="1" fillId="10" borderId="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21E36"/>
      <color rgb="FFFA9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414617</xdr:colOff>
      <xdr:row>0</xdr:row>
      <xdr:rowOff>33617</xdr:rowOff>
    </xdr:from>
    <xdr:to>
      <xdr:col>0</xdr:col>
      <xdr:colOff>1847177</xdr:colOff>
      <xdr:row>0</xdr:row>
      <xdr:rowOff>1219289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808475-6617-4E2E-A538-011E0765E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33617"/>
          <a:ext cx="1432560" cy="1185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2</xdr:col>
      <xdr:colOff>266602</xdr:colOff>
      <xdr:row>0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7932E5-2C46-4095-9080-1FFAF47B1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1104802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414617</xdr:colOff>
      <xdr:row>0</xdr:row>
      <xdr:rowOff>33617</xdr:rowOff>
    </xdr:from>
    <xdr:to>
      <xdr:col>0</xdr:col>
      <xdr:colOff>1847177</xdr:colOff>
      <xdr:row>0</xdr:row>
      <xdr:rowOff>1219289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5BC233-D99B-45ED-9CC8-B17BBD63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33617"/>
          <a:ext cx="1432560" cy="11856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2</xdr:col>
      <xdr:colOff>266602</xdr:colOff>
      <xdr:row>0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DD84A3-C23D-4FDD-A423-FC505E02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1104802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414617</xdr:colOff>
      <xdr:row>0</xdr:row>
      <xdr:rowOff>33617</xdr:rowOff>
    </xdr:from>
    <xdr:to>
      <xdr:col>0</xdr:col>
      <xdr:colOff>1847177</xdr:colOff>
      <xdr:row>0</xdr:row>
      <xdr:rowOff>1219289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5E921B-BBB7-4A40-A0FD-AA1513666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33617"/>
          <a:ext cx="1432560" cy="11856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2</xdr:col>
      <xdr:colOff>266602</xdr:colOff>
      <xdr:row>0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6F479-5037-4739-895A-A0E365BCF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110480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3CFE-F881-4014-BCE8-D4B8AED183D2}">
  <dimension ref="A1:AP345"/>
  <sheetViews>
    <sheetView tabSelected="1" zoomScale="90" zoomScaleNormal="90" workbookViewId="0">
      <selection activeCell="K1" sqref="K1"/>
    </sheetView>
  </sheetViews>
  <sheetFormatPr defaultRowHeight="15" x14ac:dyDescent="0.25"/>
  <cols>
    <col min="1" max="1" width="30.42578125" customWidth="1"/>
    <col min="2" max="2" width="15.42578125" customWidth="1"/>
    <col min="3" max="3" width="15.5703125" customWidth="1"/>
    <col min="4" max="4" width="16.42578125" customWidth="1"/>
    <col min="5" max="6" width="16.5703125" customWidth="1"/>
    <col min="7" max="7" width="17.5703125" style="24" customWidth="1"/>
    <col min="8" max="10" width="30.5703125" hidden="1" customWidth="1"/>
    <col min="11" max="11" width="27" customWidth="1"/>
    <col min="12" max="12" width="22.5703125" hidden="1" customWidth="1"/>
    <col min="13" max="13" width="23" customWidth="1"/>
    <col min="14" max="14" width="18.42578125" customWidth="1"/>
    <col min="15" max="17" width="16.5703125" customWidth="1"/>
    <col min="18" max="18" width="20.5703125" customWidth="1"/>
    <col min="19" max="19" width="9.42578125" style="3"/>
    <col min="20" max="20" width="9.42578125" style="3" customWidth="1"/>
    <col min="21" max="21" width="14.5703125" style="3" customWidth="1"/>
    <col min="22" max="23" width="9.42578125" style="3" hidden="1" customWidth="1"/>
    <col min="24" max="24" width="0" style="3" hidden="1" customWidth="1"/>
    <col min="25" max="38" width="9.42578125" style="3"/>
  </cols>
  <sheetData>
    <row r="1" spans="1:42" ht="111" customHeight="1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4"/>
      <c r="T1" s="24"/>
      <c r="U1" s="24"/>
    </row>
    <row r="2" spans="1:42" s="6" customFormat="1" ht="63" customHeight="1" x14ac:dyDescent="0.25">
      <c r="A2" s="123"/>
      <c r="B2" s="123" t="s">
        <v>1</v>
      </c>
      <c r="C2" s="123" t="s">
        <v>2</v>
      </c>
      <c r="D2" s="123" t="s">
        <v>64</v>
      </c>
      <c r="E2" s="123" t="s">
        <v>3</v>
      </c>
      <c r="F2" s="123" t="s">
        <v>4</v>
      </c>
      <c r="G2" s="123" t="s">
        <v>5</v>
      </c>
      <c r="H2" s="123" t="s">
        <v>6</v>
      </c>
      <c r="I2" s="123" t="s">
        <v>42</v>
      </c>
      <c r="J2" s="123" t="s">
        <v>43</v>
      </c>
      <c r="K2" s="123" t="s">
        <v>40</v>
      </c>
      <c r="L2" s="123" t="s">
        <v>7</v>
      </c>
      <c r="M2" s="123" t="s">
        <v>41</v>
      </c>
      <c r="N2" s="123" t="s">
        <v>8</v>
      </c>
      <c r="O2" s="123" t="s">
        <v>39</v>
      </c>
      <c r="P2" s="123" t="s">
        <v>9</v>
      </c>
      <c r="Q2" s="123" t="s">
        <v>10</v>
      </c>
      <c r="R2" s="123" t="s">
        <v>11</v>
      </c>
      <c r="S2" s="123" t="s">
        <v>12</v>
      </c>
      <c r="T2" s="123" t="s">
        <v>13</v>
      </c>
      <c r="U2" s="123" t="s">
        <v>14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2" s="18" customFormat="1" ht="34.5" customHeight="1" x14ac:dyDescent="0.25">
      <c r="A3" s="131" t="s">
        <v>74</v>
      </c>
      <c r="B3" s="8">
        <v>0.5161</v>
      </c>
      <c r="C3" s="9">
        <v>0.30859999999999999</v>
      </c>
      <c r="D3" s="9" t="s">
        <v>16</v>
      </c>
      <c r="E3" s="9" t="s">
        <v>16</v>
      </c>
      <c r="F3" s="9" t="s">
        <v>16</v>
      </c>
      <c r="G3" s="10">
        <v>8</v>
      </c>
      <c r="H3" s="11">
        <f>VLOOKUP(G3,G26:H33,2)</f>
        <v>0.1</v>
      </c>
      <c r="I3" s="82" t="str">
        <f>IF(B3&gt;50%,"YES","NO")</f>
        <v>YES</v>
      </c>
      <c r="J3" s="11" t="str">
        <f>IF(E3="YES","YES",IF(F3="YES","YES",IF(E3="NO","NO",IF(F3="NO","NO"))))</f>
        <v>NO</v>
      </c>
      <c r="K3" s="11" t="str">
        <f>IF(I3="NO","NO",IF(J3="NO","NO",IF(J3="YES","YES",IF(I3="YES","YES"))))</f>
        <v>NO</v>
      </c>
      <c r="L3" s="10" t="s">
        <v>16</v>
      </c>
      <c r="M3" s="10" t="s">
        <v>16</v>
      </c>
      <c r="N3" s="10" t="s">
        <v>16</v>
      </c>
      <c r="O3" s="12">
        <f>(IF(M3="YES",1.2,1)*IF(N3="YES",1.2,1))*H3</f>
        <v>0.1</v>
      </c>
      <c r="P3" s="13">
        <v>1250000</v>
      </c>
      <c r="Q3" s="14">
        <f>O3*P3</f>
        <v>125000</v>
      </c>
      <c r="R3" s="13">
        <v>489499028</v>
      </c>
      <c r="S3" s="11">
        <f>Q3/R3</f>
        <v>2.5536312198764979E-4</v>
      </c>
      <c r="T3" s="15">
        <f>G13</f>
        <v>0.12212741309059351</v>
      </c>
      <c r="U3" s="16"/>
      <c r="V3" s="17"/>
      <c r="W3" s="17" t="s">
        <v>17</v>
      </c>
      <c r="X3" s="17">
        <v>1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2" s="18" customFormat="1" ht="34.5" customHeight="1" x14ac:dyDescent="0.25">
      <c r="A4" s="131" t="s">
        <v>75</v>
      </c>
      <c r="B4" s="8">
        <v>1</v>
      </c>
      <c r="C4" s="9">
        <v>0</v>
      </c>
      <c r="D4" s="9" t="s">
        <v>17</v>
      </c>
      <c r="E4" s="9" t="s">
        <v>16</v>
      </c>
      <c r="F4" s="9" t="s">
        <v>17</v>
      </c>
      <c r="G4" s="10">
        <v>1</v>
      </c>
      <c r="H4" s="11">
        <f>VLOOKUP(G4,G26:H33,2)</f>
        <v>1.35</v>
      </c>
      <c r="I4" s="82" t="str">
        <f>IF(B4&gt;50%,"YES","NO")</f>
        <v>YES</v>
      </c>
      <c r="J4" s="11" t="str">
        <f>IF(E4="YES","YES",IF(F4="YES","YES",IF(E4="NO","NO",IF(F4="NO","NO"))))</f>
        <v>YES</v>
      </c>
      <c r="K4" s="11" t="str">
        <f>IF(I4="NO","NO",IF(J4="NO","NO",IF(J4="YES","YES",IF(I4="YES","YES"))))</f>
        <v>YES</v>
      </c>
      <c r="L4" s="10" t="s">
        <v>17</v>
      </c>
      <c r="M4" s="10" t="s">
        <v>16</v>
      </c>
      <c r="N4" s="10" t="s">
        <v>16</v>
      </c>
      <c r="O4" s="12">
        <f>(IF(M4="YES",1.2,1)*IF(N4="YES",1.2,1))*H4</f>
        <v>1.35</v>
      </c>
      <c r="P4" s="13">
        <v>1250000</v>
      </c>
      <c r="Q4" s="14">
        <f>O4*P4</f>
        <v>1687500</v>
      </c>
      <c r="R4" s="13">
        <v>489499028</v>
      </c>
      <c r="S4" s="11">
        <f>Q4/R4</f>
        <v>3.4474021468332721E-3</v>
      </c>
      <c r="T4" s="19">
        <f>R13</f>
        <v>0.51107736826803263</v>
      </c>
      <c r="U4" s="20">
        <f>T4/T3</f>
        <v>4.1847882906429694</v>
      </c>
      <c r="V4" s="17"/>
      <c r="W4" s="17" t="s">
        <v>16</v>
      </c>
      <c r="X4" s="17">
        <v>2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2" s="24" customFormat="1" x14ac:dyDescent="0.25">
      <c r="A5" s="21"/>
      <c r="B5" s="22"/>
      <c r="C5" s="23"/>
      <c r="D5" s="23"/>
      <c r="F5" s="25"/>
      <c r="G5" s="26"/>
      <c r="H5" s="26"/>
      <c r="I5" s="26"/>
      <c r="J5" s="26"/>
      <c r="K5" s="26"/>
      <c r="L5" s="23"/>
      <c r="M5" s="27"/>
      <c r="N5" s="27"/>
      <c r="V5" s="28">
        <v>3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2" s="24" customFormat="1" ht="15.75" thickBot="1" x14ac:dyDescent="0.3">
      <c r="A6" s="21"/>
      <c r="B6" s="22"/>
      <c r="C6" s="23"/>
      <c r="D6" s="23"/>
      <c r="E6" s="29"/>
      <c r="F6" s="30"/>
      <c r="G6" s="26"/>
      <c r="H6" s="26"/>
      <c r="I6" s="26"/>
      <c r="J6" s="26"/>
      <c r="K6" s="26"/>
      <c r="L6" s="23"/>
      <c r="M6" s="27"/>
      <c r="N6" s="27"/>
      <c r="V6" s="29">
        <v>4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2" s="24" customFormat="1" ht="36.75" customHeight="1" x14ac:dyDescent="0.25">
      <c r="A7" s="130"/>
      <c r="B7" s="123" t="s">
        <v>13</v>
      </c>
      <c r="C7" s="123" t="s">
        <v>14</v>
      </c>
      <c r="D7" s="23"/>
      <c r="E7" s="33"/>
      <c r="F7" s="109">
        <f>(60%*51%)+(40%*51%)</f>
        <v>0.51</v>
      </c>
      <c r="G7" s="35"/>
      <c r="H7" s="35"/>
      <c r="I7" s="36"/>
      <c r="J7" s="36"/>
      <c r="K7" s="124" t="s">
        <v>65</v>
      </c>
      <c r="L7" s="101"/>
      <c r="M7" s="107">
        <v>180000000</v>
      </c>
      <c r="N7" s="123" t="s">
        <v>71</v>
      </c>
      <c r="O7" s="123" t="s">
        <v>73</v>
      </c>
      <c r="P7" s="123" t="s">
        <v>72</v>
      </c>
      <c r="Q7" s="1"/>
      <c r="R7" s="1"/>
      <c r="S7" s="1"/>
      <c r="T7" s="1"/>
      <c r="W7" s="29">
        <v>5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2" s="24" customFormat="1" ht="34.5" customHeight="1" x14ac:dyDescent="0.7">
      <c r="A8" s="38" t="s">
        <v>19</v>
      </c>
      <c r="B8" s="108">
        <f>G13</f>
        <v>0.12212741309059351</v>
      </c>
      <c r="C8" s="40"/>
      <c r="D8" s="23"/>
      <c r="E8" s="33"/>
      <c r="F8" s="34"/>
      <c r="G8" s="41"/>
      <c r="H8" s="35"/>
      <c r="I8" s="35"/>
      <c r="J8" s="35"/>
      <c r="K8" s="132" t="s">
        <v>66</v>
      </c>
      <c r="L8" s="102"/>
      <c r="M8" s="100" t="s">
        <v>69</v>
      </c>
      <c r="N8" s="100">
        <v>10</v>
      </c>
      <c r="O8" s="100">
        <f>M7/100*2</f>
        <v>3600000</v>
      </c>
      <c r="P8" s="103">
        <f>O8/N8</f>
        <v>360000</v>
      </c>
      <c r="Q8" s="1"/>
      <c r="R8" s="1"/>
      <c r="S8" s="1"/>
      <c r="T8" s="1"/>
      <c r="W8" s="29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2" s="24" customFormat="1" ht="34.5" customHeight="1" x14ac:dyDescent="0.25">
      <c r="A9" s="38" t="s">
        <v>20</v>
      </c>
      <c r="B9" s="42">
        <f>R13</f>
        <v>0.51107736826803263</v>
      </c>
      <c r="C9" s="20">
        <f>B9/B8</f>
        <v>4.1847882906429694</v>
      </c>
      <c r="D9" s="23"/>
      <c r="E9" s="33"/>
      <c r="F9" s="34"/>
      <c r="G9" s="35"/>
      <c r="H9" s="35"/>
      <c r="I9" s="35"/>
      <c r="J9" s="35"/>
      <c r="K9" s="132" t="s">
        <v>67</v>
      </c>
      <c r="L9" s="102"/>
      <c r="M9" s="100" t="s">
        <v>70</v>
      </c>
      <c r="N9" s="100">
        <v>5</v>
      </c>
      <c r="O9" s="100">
        <f>M7/100*1</f>
        <v>1800000</v>
      </c>
      <c r="P9" s="103">
        <f t="shared" ref="P9:P10" si="0">O9/N9</f>
        <v>360000</v>
      </c>
      <c r="Q9" s="1"/>
      <c r="R9" s="1"/>
      <c r="S9" s="1"/>
      <c r="T9" s="1"/>
      <c r="W9" s="29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2" s="24" customFormat="1" ht="34.5" customHeight="1" thickBot="1" x14ac:dyDescent="0.35">
      <c r="A10" s="43"/>
      <c r="B10" s="44"/>
      <c r="C10" s="36"/>
      <c r="D10" s="23"/>
      <c r="E10" s="33"/>
      <c r="F10" s="34"/>
      <c r="G10" s="35"/>
      <c r="H10" s="35"/>
      <c r="I10" s="35"/>
      <c r="J10" s="35"/>
      <c r="K10" s="133" t="s">
        <v>68</v>
      </c>
      <c r="L10" s="104"/>
      <c r="M10" s="105" t="s">
        <v>70</v>
      </c>
      <c r="N10" s="105">
        <v>5</v>
      </c>
      <c r="O10" s="105">
        <f>M7/100*1</f>
        <v>1800000</v>
      </c>
      <c r="P10" s="106">
        <f t="shared" si="0"/>
        <v>360000</v>
      </c>
      <c r="Q10" s="1"/>
      <c r="R10" s="1"/>
      <c r="S10" s="1"/>
      <c r="T10" s="1"/>
      <c r="W10" s="29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2" s="24" customFormat="1" x14ac:dyDescent="0.25">
      <c r="A11" s="45"/>
      <c r="B11" s="44"/>
      <c r="C11" s="36"/>
      <c r="D11" s="36"/>
      <c r="E11" s="33"/>
      <c r="F11" s="34"/>
      <c r="G11" s="35"/>
      <c r="H11" s="35"/>
      <c r="I11" s="35"/>
      <c r="J11" s="35"/>
      <c r="K11" s="35"/>
      <c r="L11" s="36"/>
      <c r="M11" s="37"/>
      <c r="N11" s="37"/>
      <c r="O11" s="1"/>
      <c r="P11" s="1"/>
      <c r="Q11" s="1"/>
      <c r="R11" s="1"/>
      <c r="S11" s="1"/>
      <c r="V11" s="29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5.75" thickBot="1" x14ac:dyDescent="0.3">
      <c r="A12" s="1"/>
      <c r="B12" s="1"/>
      <c r="C12" s="1"/>
      <c r="D12" s="1"/>
      <c r="E12" s="1"/>
      <c r="F12" s="1"/>
      <c r="G12" s="1"/>
      <c r="H12" s="4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4"/>
      <c r="U12" s="24"/>
      <c r="V12" s="24"/>
      <c r="W12" s="24"/>
      <c r="AM12" s="3"/>
    </row>
    <row r="13" spans="1:42" ht="35.25" customHeight="1" thickBot="1" x14ac:dyDescent="0.3">
      <c r="A13" s="125" t="s">
        <v>21</v>
      </c>
      <c r="B13" s="126"/>
      <c r="C13" s="126"/>
      <c r="D13" s="126"/>
      <c r="E13" s="126"/>
      <c r="F13" s="126"/>
      <c r="G13" s="127">
        <f>E16</f>
        <v>0.12212741309059351</v>
      </c>
      <c r="H13" s="128"/>
      <c r="I13" s="129"/>
      <c r="J13" s="129"/>
      <c r="K13" s="125" t="s">
        <v>22</v>
      </c>
      <c r="L13" s="126"/>
      <c r="M13" s="126"/>
      <c r="N13" s="126"/>
      <c r="O13" s="126"/>
      <c r="P13" s="126"/>
      <c r="Q13" s="126"/>
      <c r="R13" s="127">
        <f>P16</f>
        <v>0.51107736826803263</v>
      </c>
      <c r="S13" s="24"/>
      <c r="T13" s="24"/>
      <c r="U13" s="24"/>
      <c r="V13" s="24"/>
    </row>
    <row r="14" spans="1:42" x14ac:dyDescent="0.25">
      <c r="A14" s="48"/>
      <c r="B14" s="1"/>
      <c r="C14" s="1"/>
      <c r="D14" s="1"/>
      <c r="E14" s="1"/>
      <c r="F14" s="46"/>
      <c r="G14" s="4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4"/>
      <c r="T14" s="24"/>
      <c r="U14" s="24"/>
      <c r="V14" s="24"/>
    </row>
    <row r="15" spans="1:42" ht="50.25" customHeight="1" x14ac:dyDescent="0.25">
      <c r="A15" s="112" t="s">
        <v>23</v>
      </c>
      <c r="B15" s="113"/>
      <c r="C15" s="113"/>
      <c r="D15" s="113"/>
      <c r="E15" s="114"/>
      <c r="F15" s="137" t="s">
        <v>44</v>
      </c>
      <c r="G15" s="50"/>
      <c r="H15" s="80"/>
      <c r="I15" s="80"/>
      <c r="J15" s="80"/>
      <c r="K15" s="112" t="s">
        <v>23</v>
      </c>
      <c r="L15" s="113"/>
      <c r="M15" s="113"/>
      <c r="N15" s="113"/>
      <c r="O15" s="113"/>
      <c r="P15" s="114"/>
      <c r="Q15" s="137" t="s">
        <v>24</v>
      </c>
      <c r="R15" s="85"/>
      <c r="S15" s="24"/>
      <c r="T15" s="1"/>
      <c r="U15" s="1"/>
      <c r="V15" s="1"/>
      <c r="AM15" s="3"/>
      <c r="AN15" s="3"/>
      <c r="AO15" s="3"/>
      <c r="AP15" s="3"/>
    </row>
    <row r="16" spans="1:42" ht="60" x14ac:dyDescent="0.25">
      <c r="A16" s="134" t="s">
        <v>25</v>
      </c>
      <c r="B16" s="131">
        <v>27</v>
      </c>
      <c r="C16" s="131"/>
      <c r="D16" s="131"/>
      <c r="E16" s="135">
        <f>SUM(E18:E23)</f>
        <v>0.12212741309059351</v>
      </c>
      <c r="F16" s="136" t="str">
        <f>IF((E16/B16)&lt;40%,"You do not comply to the 40% sub minimum",E16/B16)</f>
        <v>You do not comply to the 40% sub minimum</v>
      </c>
      <c r="G16" s="50"/>
      <c r="H16" s="80"/>
      <c r="I16" s="80"/>
      <c r="J16" s="80"/>
      <c r="K16" s="138" t="s">
        <v>25</v>
      </c>
      <c r="L16" s="138"/>
      <c r="M16" s="131">
        <v>27</v>
      </c>
      <c r="N16" s="131"/>
      <c r="O16" s="131"/>
      <c r="P16" s="135">
        <f>SUM(P18:P23)</f>
        <v>0.51107736826803263</v>
      </c>
      <c r="Q16" s="136" t="str">
        <f>IF((P16/M16)&lt;40%,"You do not comply to the 40% sub minimum",P16/M16)</f>
        <v>You do not comply to the 40% sub minimum</v>
      </c>
      <c r="R16" s="1"/>
      <c r="S16" s="1"/>
      <c r="T16" s="1"/>
      <c r="U16" s="24"/>
      <c r="AM16" s="3"/>
      <c r="AN16" s="3"/>
    </row>
    <row r="17" spans="1:40" ht="29.25" customHeight="1" x14ac:dyDescent="0.25">
      <c r="A17" s="55"/>
      <c r="B17" s="123" t="s">
        <v>26</v>
      </c>
      <c r="C17" s="123" t="s">
        <v>27</v>
      </c>
      <c r="D17" s="123" t="s">
        <v>12</v>
      </c>
      <c r="E17" s="141" t="s">
        <v>28</v>
      </c>
      <c r="F17" s="89"/>
      <c r="G17" s="50"/>
      <c r="H17" s="80"/>
      <c r="I17" s="80"/>
      <c r="J17" s="80"/>
      <c r="K17" s="56"/>
      <c r="L17" s="56"/>
      <c r="M17" s="123" t="s">
        <v>26</v>
      </c>
      <c r="N17" s="123" t="s">
        <v>27</v>
      </c>
      <c r="O17" s="123" t="s">
        <v>12</v>
      </c>
      <c r="P17" s="141" t="s">
        <v>28</v>
      </c>
      <c r="Q17" s="89"/>
      <c r="R17" s="1"/>
      <c r="S17" s="1"/>
      <c r="T17" s="1"/>
      <c r="U17" s="24"/>
      <c r="AM17" s="3"/>
      <c r="AN17" s="3"/>
    </row>
    <row r="18" spans="1:40" s="65" customFormat="1" ht="117" customHeight="1" x14ac:dyDescent="0.25">
      <c r="A18" s="139" t="s">
        <v>29</v>
      </c>
      <c r="B18" s="58">
        <v>5</v>
      </c>
      <c r="C18" s="59">
        <v>0.8</v>
      </c>
      <c r="D18" s="11">
        <f>S3</f>
        <v>2.5536312198764979E-4</v>
      </c>
      <c r="E18" s="90">
        <f>IF((D18/C18*B18)&gt;5,5,(D18/C18*B18))</f>
        <v>1.5960195124228112E-3</v>
      </c>
      <c r="F18" s="86"/>
      <c r="G18" s="61"/>
      <c r="H18" s="81"/>
      <c r="I18" s="81"/>
      <c r="J18" s="81"/>
      <c r="K18" s="140" t="s">
        <v>29</v>
      </c>
      <c r="L18" s="62"/>
      <c r="M18" s="58">
        <v>5</v>
      </c>
      <c r="N18" s="59">
        <v>0.8</v>
      </c>
      <c r="O18" s="11">
        <f>S4</f>
        <v>3.4474021468332721E-3</v>
      </c>
      <c r="P18" s="90">
        <f>IF((O18/N18*M18)&gt;5,5,(O18/N18*M18))</f>
        <v>2.1546263417707951E-2</v>
      </c>
      <c r="Q18" s="86"/>
      <c r="R18" s="63"/>
      <c r="S18" s="63"/>
      <c r="T18" s="63"/>
      <c r="U18" s="99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5" customFormat="1" ht="114.75" customHeight="1" x14ac:dyDescent="0.25">
      <c r="A19" s="139" t="s">
        <v>30</v>
      </c>
      <c r="B19" s="58">
        <v>3</v>
      </c>
      <c r="C19" s="59">
        <v>0.15</v>
      </c>
      <c r="D19" s="11">
        <f>IF(F3="yes",S3,0)</f>
        <v>0</v>
      </c>
      <c r="E19" s="60">
        <f>IF((D19/C19*B19)&gt;4,4,(D19/C19*B19))</f>
        <v>0</v>
      </c>
      <c r="F19" s="87"/>
      <c r="G19" s="61"/>
      <c r="H19" s="81"/>
      <c r="I19" s="81"/>
      <c r="J19" s="81"/>
      <c r="K19" s="140" t="s">
        <v>30</v>
      </c>
      <c r="L19" s="62"/>
      <c r="M19" s="58">
        <v>3</v>
      </c>
      <c r="N19" s="59">
        <v>0.15</v>
      </c>
      <c r="O19" s="11">
        <f>IF(F4="yes",S4,0)</f>
        <v>3.4474021468332721E-3</v>
      </c>
      <c r="P19" s="60">
        <f>IF((O19/N19*M19)&gt;5,5,(O19/N19*M19))</f>
        <v>6.8948042936665455E-2</v>
      </c>
      <c r="Q19" s="87"/>
      <c r="R19" s="63"/>
      <c r="S19" s="63"/>
      <c r="T19" s="63"/>
      <c r="U19" s="99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5" customFormat="1" ht="124.5" customHeight="1" x14ac:dyDescent="0.25">
      <c r="A20" s="139" t="s">
        <v>31</v>
      </c>
      <c r="B20" s="58">
        <v>4</v>
      </c>
      <c r="C20" s="59">
        <v>0.15</v>
      </c>
      <c r="D20" s="11">
        <f>IF(E3="yes",S3,0)</f>
        <v>0</v>
      </c>
      <c r="E20" s="60">
        <f>IF((D20/C20*B20)&gt;4,4,(D20/C20*B20))</f>
        <v>0</v>
      </c>
      <c r="F20" s="87"/>
      <c r="G20" s="61"/>
      <c r="H20" s="81"/>
      <c r="I20" s="81"/>
      <c r="J20" s="81"/>
      <c r="K20" s="140" t="s">
        <v>31</v>
      </c>
      <c r="L20" s="62"/>
      <c r="M20" s="58">
        <v>4</v>
      </c>
      <c r="N20" s="59">
        <v>0.15</v>
      </c>
      <c r="O20" s="11">
        <f>IF(E4="yes",S4,0)</f>
        <v>0</v>
      </c>
      <c r="P20" s="60">
        <f>IF((O20/N20*M20)&gt;4,4,(O20/N20*M20))</f>
        <v>0</v>
      </c>
      <c r="Q20" s="87"/>
      <c r="R20" s="63"/>
      <c r="S20" s="63"/>
      <c r="T20" s="63"/>
      <c r="U20" s="99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5" customFormat="1" ht="146.25" customHeight="1" x14ac:dyDescent="0.25">
      <c r="A21" s="139" t="s">
        <v>32</v>
      </c>
      <c r="B21" s="58">
        <v>11</v>
      </c>
      <c r="C21" s="59">
        <v>0.5</v>
      </c>
      <c r="D21" s="11">
        <f>IF(B3&gt;50%,S3,0)</f>
        <v>2.5536312198764979E-4</v>
      </c>
      <c r="E21" s="60">
        <f>IF((D21/C21*B21)&gt;11,11,(D21/C21*B21))</f>
        <v>5.6179886837282953E-3</v>
      </c>
      <c r="F21" s="88"/>
      <c r="G21" s="61"/>
      <c r="H21" s="81"/>
      <c r="I21" s="81"/>
      <c r="J21" s="81"/>
      <c r="K21" s="140" t="s">
        <v>32</v>
      </c>
      <c r="L21" s="62"/>
      <c r="M21" s="58">
        <v>11</v>
      </c>
      <c r="N21" s="59">
        <v>0.5</v>
      </c>
      <c r="O21" s="11">
        <f>IF(B4&gt;50%,S4,0)</f>
        <v>3.4474021468332721E-3</v>
      </c>
      <c r="P21" s="60">
        <f>IF((O21/N21*M21)&gt;11,11,(O21/N21*M21))</f>
        <v>7.5842847230331981E-2</v>
      </c>
      <c r="Q21" s="88"/>
      <c r="R21" s="63"/>
      <c r="S21" s="63"/>
      <c r="T21" s="63"/>
      <c r="U21" s="99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5" customFormat="1" ht="148.5" customHeight="1" x14ac:dyDescent="0.25">
      <c r="A22" s="139" t="s">
        <v>33</v>
      </c>
      <c r="B22" s="58">
        <v>4</v>
      </c>
      <c r="C22" s="59">
        <v>0.12</v>
      </c>
      <c r="D22" s="11">
        <f>IF(C3&gt;29%,S4,0)</f>
        <v>3.4474021468332721E-3</v>
      </c>
      <c r="E22" s="60">
        <f>IF((D22/C22*B22)&gt;4,4,(D22/C22*B22))</f>
        <v>0.11491340489444241</v>
      </c>
      <c r="F22" s="87"/>
      <c r="G22" s="61"/>
      <c r="H22" s="81"/>
      <c r="I22" s="81"/>
      <c r="J22" s="81"/>
      <c r="K22" s="140" t="s">
        <v>33</v>
      </c>
      <c r="L22" s="62"/>
      <c r="M22" s="58">
        <v>4</v>
      </c>
      <c r="N22" s="59">
        <v>0.12</v>
      </c>
      <c r="O22" s="11">
        <f>IF(C4&gt;29%,S4,0)</f>
        <v>0</v>
      </c>
      <c r="P22" s="60">
        <f>IF((O22/N22*M22)&gt;4,4,(O22/N22*M22))</f>
        <v>0</v>
      </c>
      <c r="Q22" s="87"/>
      <c r="R22" s="63"/>
      <c r="S22" s="63"/>
      <c r="T22" s="63"/>
      <c r="U22" s="99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5" customFormat="1" ht="148.5" customHeight="1" x14ac:dyDescent="0.25">
      <c r="A23" s="98" t="s">
        <v>63</v>
      </c>
      <c r="B23" s="58">
        <v>2</v>
      </c>
      <c r="C23" s="59">
        <v>0.02</v>
      </c>
      <c r="D23" s="11">
        <f>IF(D3="yes",S3,0)</f>
        <v>0</v>
      </c>
      <c r="E23" s="60">
        <f>IF((D23/C23*B23)&gt;2,2,(D23/C23*B23))</f>
        <v>0</v>
      </c>
      <c r="F23" s="87"/>
      <c r="G23" s="61"/>
      <c r="H23" s="81"/>
      <c r="I23" s="81"/>
      <c r="J23" s="81"/>
      <c r="K23" s="98" t="s">
        <v>63</v>
      </c>
      <c r="L23" s="58">
        <v>2</v>
      </c>
      <c r="M23" s="58">
        <v>2</v>
      </c>
      <c r="N23" s="59">
        <v>0.02</v>
      </c>
      <c r="O23" s="11">
        <f>IF(D4="yes",S4,0)</f>
        <v>3.4474021468332721E-3</v>
      </c>
      <c r="P23" s="60">
        <f>IF((O23/N23*M23)&gt;2,2,(O23/N23*M23))</f>
        <v>0.34474021468332722</v>
      </c>
      <c r="Q23" s="87"/>
      <c r="R23" s="63"/>
      <c r="S23" s="63"/>
      <c r="T23" s="63"/>
      <c r="U23" s="99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ht="15.75" thickBot="1" x14ac:dyDescent="0.3">
      <c r="A24" s="66"/>
      <c r="B24" s="67"/>
      <c r="C24" s="67"/>
      <c r="D24" s="67"/>
      <c r="E24" s="67"/>
      <c r="F24" s="67"/>
      <c r="G24" s="68"/>
      <c r="H24" s="67"/>
      <c r="I24" s="67"/>
      <c r="J24" s="67"/>
      <c r="K24" s="67"/>
      <c r="L24" s="67"/>
      <c r="M24" s="69"/>
      <c r="N24" s="1"/>
      <c r="O24" s="1"/>
      <c r="P24" s="1"/>
      <c r="Q24" s="87"/>
      <c r="R24" s="63"/>
      <c r="S24" s="63"/>
      <c r="T24" s="63"/>
      <c r="U24" s="24"/>
      <c r="AK24"/>
      <c r="AL24"/>
    </row>
    <row r="25" spans="1:40" ht="15.75" hidden="1" thickBot="1" x14ac:dyDescent="0.3">
      <c r="G25" s="70"/>
      <c r="H25" s="71"/>
      <c r="Q25" s="87"/>
      <c r="R25" s="63"/>
      <c r="S25" s="63"/>
      <c r="T25" s="63"/>
      <c r="U25" s="24"/>
      <c r="AK25"/>
      <c r="AL25"/>
    </row>
    <row r="26" spans="1:40" ht="16.5" hidden="1" thickTop="1" thickBot="1" x14ac:dyDescent="0.3">
      <c r="B26" s="72" t="s">
        <v>34</v>
      </c>
      <c r="C26" s="73" t="s">
        <v>35</v>
      </c>
      <c r="D26" s="74" t="s">
        <v>36</v>
      </c>
      <c r="E26" s="75" t="s">
        <v>37</v>
      </c>
      <c r="G26" s="76">
        <v>1</v>
      </c>
      <c r="H26" s="77">
        <v>1.35</v>
      </c>
      <c r="Q26" s="87"/>
      <c r="R26" s="63"/>
      <c r="S26" s="63"/>
      <c r="T26" s="63"/>
      <c r="U26" s="24"/>
      <c r="AK26"/>
      <c r="AL26"/>
    </row>
    <row r="27" spans="1:40" ht="15.75" hidden="1" thickBot="1" x14ac:dyDescent="0.3">
      <c r="B27" s="76">
        <v>1</v>
      </c>
      <c r="C27" s="78">
        <v>100</v>
      </c>
      <c r="D27" s="78">
        <v>100</v>
      </c>
      <c r="E27" s="79">
        <v>1.35</v>
      </c>
      <c r="G27" s="76">
        <v>2</v>
      </c>
      <c r="H27" s="77">
        <v>1.25</v>
      </c>
      <c r="Q27" s="87"/>
      <c r="R27" s="63"/>
      <c r="S27" s="63"/>
      <c r="T27" s="63"/>
      <c r="U27" s="24"/>
      <c r="AK27"/>
      <c r="AL27"/>
    </row>
    <row r="28" spans="1:40" ht="15.75" hidden="1" thickBot="1" x14ac:dyDescent="0.3">
      <c r="B28" s="76">
        <v>2</v>
      </c>
      <c r="C28" s="78">
        <v>85</v>
      </c>
      <c r="D28" s="78">
        <v>95</v>
      </c>
      <c r="E28" s="79">
        <v>1.25</v>
      </c>
      <c r="G28" s="76">
        <v>3</v>
      </c>
      <c r="H28" s="77">
        <v>1.1000000000000001</v>
      </c>
      <c r="Q28" s="87"/>
      <c r="R28" s="63"/>
      <c r="S28" s="63"/>
      <c r="T28" s="63"/>
      <c r="U28" s="24"/>
      <c r="AK28"/>
      <c r="AL28"/>
    </row>
    <row r="29" spans="1:40" ht="15.75" hidden="1" thickBot="1" x14ac:dyDescent="0.3">
      <c r="B29" s="76">
        <v>3</v>
      </c>
      <c r="C29" s="78">
        <v>75</v>
      </c>
      <c r="D29" s="78">
        <v>90</v>
      </c>
      <c r="E29" s="79">
        <v>1.1000000000000001</v>
      </c>
      <c r="G29" s="76">
        <v>4</v>
      </c>
      <c r="H29" s="77">
        <v>1</v>
      </c>
      <c r="Q29" s="87"/>
      <c r="R29" s="63"/>
      <c r="S29" s="63"/>
      <c r="T29" s="63"/>
      <c r="U29" s="24"/>
      <c r="AK29"/>
      <c r="AL29"/>
    </row>
    <row r="30" spans="1:40" ht="15.75" hidden="1" thickBot="1" x14ac:dyDescent="0.3">
      <c r="B30" s="76">
        <v>4</v>
      </c>
      <c r="C30" s="78">
        <v>65</v>
      </c>
      <c r="D30" s="78">
        <v>80</v>
      </c>
      <c r="E30" s="79">
        <v>1</v>
      </c>
      <c r="G30" s="76">
        <v>5</v>
      </c>
      <c r="H30" s="77">
        <v>0.8</v>
      </c>
      <c r="Q30" s="87"/>
      <c r="R30" s="63"/>
      <c r="S30" s="63"/>
      <c r="T30" s="63"/>
      <c r="U30" s="24"/>
      <c r="AK30"/>
      <c r="AL30"/>
    </row>
    <row r="31" spans="1:40" ht="15.75" hidden="1" thickBot="1" x14ac:dyDescent="0.3">
      <c r="B31" s="76">
        <v>5</v>
      </c>
      <c r="C31" s="78">
        <v>55</v>
      </c>
      <c r="D31" s="78">
        <v>75</v>
      </c>
      <c r="E31" s="79">
        <v>0.8</v>
      </c>
      <c r="G31" s="76">
        <v>6</v>
      </c>
      <c r="H31" s="77">
        <v>0.6</v>
      </c>
      <c r="Q31" s="87"/>
      <c r="R31" s="63"/>
      <c r="S31" s="63"/>
      <c r="T31" s="63"/>
      <c r="U31" s="24"/>
      <c r="AK31"/>
      <c r="AL31"/>
    </row>
    <row r="32" spans="1:40" ht="15.75" hidden="1" thickBot="1" x14ac:dyDescent="0.3">
      <c r="B32" s="76">
        <v>6</v>
      </c>
      <c r="C32" s="78">
        <v>45</v>
      </c>
      <c r="D32" s="78">
        <v>70</v>
      </c>
      <c r="E32" s="79">
        <v>0.6</v>
      </c>
      <c r="G32" s="76">
        <v>7</v>
      </c>
      <c r="H32" s="77">
        <v>0.5</v>
      </c>
      <c r="Q32" s="87"/>
      <c r="R32" s="63"/>
      <c r="S32" s="63"/>
      <c r="T32" s="63"/>
      <c r="U32" s="24"/>
      <c r="AK32"/>
      <c r="AL32"/>
    </row>
    <row r="33" spans="1:38" ht="15.75" hidden="1" thickBot="1" x14ac:dyDescent="0.3">
      <c r="B33" s="76">
        <v>7</v>
      </c>
      <c r="C33" s="78">
        <v>40</v>
      </c>
      <c r="D33" s="78">
        <v>55</v>
      </c>
      <c r="E33" s="79">
        <v>0.5</v>
      </c>
      <c r="G33" s="76">
        <v>8</v>
      </c>
      <c r="H33" s="77">
        <v>0.1</v>
      </c>
      <c r="Q33" s="87"/>
      <c r="R33" s="63"/>
      <c r="S33" s="63"/>
      <c r="T33" s="63"/>
      <c r="U33" s="24"/>
      <c r="AK33"/>
      <c r="AL33"/>
    </row>
    <row r="34" spans="1:38" ht="15.75" hidden="1" thickBot="1" x14ac:dyDescent="0.3">
      <c r="B34" s="76">
        <v>8</v>
      </c>
      <c r="C34" s="78">
        <v>30</v>
      </c>
      <c r="D34" s="78">
        <v>40</v>
      </c>
      <c r="E34" s="79">
        <v>0.1</v>
      </c>
      <c r="H34" s="79"/>
      <c r="Q34" s="87"/>
      <c r="R34" s="63"/>
      <c r="S34" s="63"/>
      <c r="T34" s="63"/>
      <c r="U34" s="24"/>
      <c r="AK34"/>
      <c r="AL34"/>
    </row>
    <row r="35" spans="1:38" ht="15.75" hidden="1" thickBot="1" x14ac:dyDescent="0.3">
      <c r="B35" s="76" t="s">
        <v>38</v>
      </c>
      <c r="C35" s="78">
        <v>0</v>
      </c>
      <c r="D35" s="78">
        <v>0</v>
      </c>
      <c r="E35" s="79">
        <v>0</v>
      </c>
      <c r="G35"/>
      <c r="Q35" s="87"/>
      <c r="R35" s="63"/>
      <c r="S35" s="63"/>
      <c r="T35" s="63"/>
      <c r="U35" s="24"/>
    </row>
    <row r="36" spans="1:38" hidden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7"/>
      <c r="R36" s="63"/>
      <c r="S36" s="63"/>
      <c r="T36" s="63"/>
      <c r="U36" s="24"/>
    </row>
    <row r="37" spans="1:38" hidden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3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3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3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3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3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3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3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3" customFormat="1" x14ac:dyDescent="0.25"/>
    <row r="57" spans="1:18" s="3" customFormat="1" x14ac:dyDescent="0.25"/>
    <row r="58" spans="1:18" s="3" customFormat="1" x14ac:dyDescent="0.25"/>
    <row r="59" spans="1:18" s="3" customFormat="1" x14ac:dyDescent="0.25"/>
    <row r="60" spans="1:18" s="3" customFormat="1" x14ac:dyDescent="0.25"/>
    <row r="61" spans="1:18" s="3" customFormat="1" x14ac:dyDescent="0.25"/>
    <row r="62" spans="1:18" s="3" customFormat="1" x14ac:dyDescent="0.25"/>
    <row r="63" spans="1:18" s="3" customFormat="1" x14ac:dyDescent="0.25"/>
    <row r="64" spans="1:1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</sheetData>
  <mergeCells count="4">
    <mergeCell ref="K13:Q13"/>
    <mergeCell ref="K15:P15"/>
    <mergeCell ref="A13:F13"/>
    <mergeCell ref="A15:E15"/>
  </mergeCells>
  <dataValidations count="2">
    <dataValidation type="list" allowBlank="1" showInputMessage="1" showErrorMessage="1" sqref="D3:F4 L3:N4" xr:uid="{35EC7A3C-016C-4DD6-802E-02536FC4C24E}">
      <formula1>$W$3:$W$4</formula1>
    </dataValidation>
    <dataValidation type="list" allowBlank="1" showInputMessage="1" showErrorMessage="1" sqref="G3:G4" xr:uid="{F8C68415-89E4-4604-BD6F-771708F148E6}">
      <formula1>$G$26:$G$33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AA79-3C7D-45CE-BD55-387E1FD569CA}">
  <sheetPr>
    <pageSetUpPr fitToPage="1"/>
  </sheetPr>
  <dimension ref="A1:L31"/>
  <sheetViews>
    <sheetView workbookViewId="0">
      <selection activeCell="I5" sqref="I5"/>
    </sheetView>
  </sheetViews>
  <sheetFormatPr defaultRowHeight="15" x14ac:dyDescent="0.25"/>
  <cols>
    <col min="2" max="2" width="12.5703125" customWidth="1"/>
    <col min="12" max="12" width="43.42578125" customWidth="1"/>
  </cols>
  <sheetData>
    <row r="1" spans="1:12" ht="87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1"/>
      <c r="B2" s="115" t="s">
        <v>50</v>
      </c>
      <c r="C2" s="116"/>
      <c r="D2" s="116"/>
      <c r="E2" s="116"/>
      <c r="F2" s="116"/>
      <c r="G2" s="116"/>
      <c r="H2" s="116"/>
      <c r="I2" s="116"/>
      <c r="J2" s="117"/>
      <c r="K2" s="1"/>
      <c r="L2" s="118" t="s">
        <v>45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8"/>
    </row>
    <row r="4" spans="1:12" x14ac:dyDescent="0.25">
      <c r="A4" s="1"/>
      <c r="B4" s="121" t="s">
        <v>46</v>
      </c>
      <c r="C4" s="121"/>
      <c r="D4" s="121"/>
      <c r="E4" s="121"/>
      <c r="F4" s="121"/>
      <c r="G4" s="121"/>
      <c r="H4" s="121"/>
      <c r="I4" s="121"/>
      <c r="J4" s="121"/>
      <c r="K4" s="1"/>
      <c r="L4" s="118"/>
    </row>
    <row r="5" spans="1:12" x14ac:dyDescent="0.25">
      <c r="A5" s="119" t="s">
        <v>47</v>
      </c>
      <c r="B5" s="96" t="s">
        <v>48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1"/>
      <c r="L5" s="118"/>
    </row>
    <row r="6" spans="1:12" ht="15" customHeight="1" x14ac:dyDescent="0.25">
      <c r="A6" s="119"/>
      <c r="B6" s="7">
        <v>1</v>
      </c>
      <c r="C6" s="93">
        <v>4.5199999999999996</v>
      </c>
      <c r="D6" s="93">
        <v>4.18</v>
      </c>
      <c r="E6" s="93">
        <v>3.68</v>
      </c>
      <c r="F6" s="93">
        <v>3.35</v>
      </c>
      <c r="G6" s="93">
        <v>2.68</v>
      </c>
      <c r="H6" s="93">
        <v>2.0099999999999998</v>
      </c>
      <c r="I6" s="93">
        <v>1.67</v>
      </c>
      <c r="J6" s="93">
        <v>0.33</v>
      </c>
      <c r="K6" s="1"/>
      <c r="L6" s="118"/>
    </row>
    <row r="7" spans="1:12" ht="15" customHeight="1" x14ac:dyDescent="0.25">
      <c r="A7" s="119"/>
      <c r="B7" s="7">
        <v>2</v>
      </c>
      <c r="C7" s="93">
        <v>4.88</v>
      </c>
      <c r="D7" s="93">
        <v>4.5199999999999996</v>
      </c>
      <c r="E7" s="93">
        <v>3.98</v>
      </c>
      <c r="F7" s="93">
        <v>3.62</v>
      </c>
      <c r="G7" s="93">
        <v>2.89</v>
      </c>
      <c r="H7" s="93">
        <v>2.17</v>
      </c>
      <c r="I7" s="93">
        <v>1.81</v>
      </c>
      <c r="J7" s="93">
        <v>0.36</v>
      </c>
      <c r="K7" s="1"/>
      <c r="L7" s="118"/>
    </row>
    <row r="8" spans="1:12" ht="15" customHeight="1" x14ac:dyDescent="0.25">
      <c r="A8" s="119"/>
      <c r="B8" s="7">
        <v>3</v>
      </c>
      <c r="C8" s="93">
        <v>5.55</v>
      </c>
      <c r="D8" s="93">
        <v>5.14</v>
      </c>
      <c r="E8" s="93">
        <v>4.5199999999999996</v>
      </c>
      <c r="F8" s="93">
        <v>4.1100000000000003</v>
      </c>
      <c r="G8" s="93">
        <v>3.29</v>
      </c>
      <c r="H8" s="93">
        <v>2.4700000000000002</v>
      </c>
      <c r="I8" s="93">
        <v>2.0499999999999998</v>
      </c>
      <c r="J8" s="93">
        <v>0.41</v>
      </c>
      <c r="K8" s="1"/>
      <c r="L8" s="118"/>
    </row>
    <row r="9" spans="1:12" ht="15" customHeight="1" x14ac:dyDescent="0.25">
      <c r="A9" s="119"/>
      <c r="B9" s="7">
        <v>4</v>
      </c>
      <c r="C9" s="93">
        <v>6.1</v>
      </c>
      <c r="D9" s="93">
        <v>5.65</v>
      </c>
      <c r="E9" s="93">
        <v>4.97</v>
      </c>
      <c r="F9" s="93">
        <v>4.5199999999999996</v>
      </c>
      <c r="G9" s="93">
        <v>3.62</v>
      </c>
      <c r="H9" s="93">
        <v>2.71</v>
      </c>
      <c r="I9" s="93">
        <v>2.2599999999999998</v>
      </c>
      <c r="J9" s="93">
        <v>0.45</v>
      </c>
      <c r="K9" s="1"/>
      <c r="L9" s="118"/>
    </row>
    <row r="10" spans="1:12" ht="15" customHeight="1" x14ac:dyDescent="0.25">
      <c r="A10" s="119"/>
      <c r="B10" s="7">
        <v>5</v>
      </c>
      <c r="C10" s="93">
        <v>7.63</v>
      </c>
      <c r="D10" s="93">
        <v>7.06</v>
      </c>
      <c r="E10" s="93">
        <v>6.22</v>
      </c>
      <c r="F10" s="93">
        <v>5.65</v>
      </c>
      <c r="G10" s="93">
        <v>4.5199999999999996</v>
      </c>
      <c r="H10" s="93">
        <v>3.39</v>
      </c>
      <c r="I10" s="93">
        <v>2.83</v>
      </c>
      <c r="J10" s="93">
        <v>0.56999999999999995</v>
      </c>
      <c r="K10" s="1"/>
      <c r="L10" s="118"/>
    </row>
    <row r="11" spans="1:12" ht="15" customHeight="1" x14ac:dyDescent="0.25">
      <c r="A11" s="119"/>
      <c r="B11" s="7">
        <v>6</v>
      </c>
      <c r="C11" s="93">
        <v>10.17</v>
      </c>
      <c r="D11" s="93">
        <v>9.42</v>
      </c>
      <c r="E11" s="93">
        <v>8.2899999999999991</v>
      </c>
      <c r="F11" s="93">
        <v>7.53</v>
      </c>
      <c r="G11" s="93">
        <v>6.03</v>
      </c>
      <c r="H11" s="93">
        <v>4.5199999999999996</v>
      </c>
      <c r="I11" s="93">
        <v>3.77</v>
      </c>
      <c r="J11" s="93">
        <v>0.75</v>
      </c>
      <c r="K11" s="1"/>
      <c r="L11" s="118"/>
    </row>
    <row r="12" spans="1:12" ht="15" customHeight="1" x14ac:dyDescent="0.25">
      <c r="A12" s="119"/>
      <c r="B12" s="7">
        <v>7</v>
      </c>
      <c r="C12" s="93">
        <v>12.2</v>
      </c>
      <c r="D12" s="93">
        <v>11.3</v>
      </c>
      <c r="E12" s="93">
        <v>9.94</v>
      </c>
      <c r="F12" s="93">
        <v>9.0399999999999991</v>
      </c>
      <c r="G12" s="93">
        <v>7.23</v>
      </c>
      <c r="H12" s="93">
        <v>5.42</v>
      </c>
      <c r="I12" s="93">
        <v>4.5199999999999996</v>
      </c>
      <c r="J12" s="93">
        <v>0.9</v>
      </c>
      <c r="K12" s="1"/>
      <c r="L12" s="118"/>
    </row>
    <row r="13" spans="1:12" ht="15" customHeight="1" x14ac:dyDescent="0.25">
      <c r="A13" s="119"/>
      <c r="B13" s="7">
        <v>8</v>
      </c>
      <c r="C13" s="93">
        <v>61.02</v>
      </c>
      <c r="D13" s="93">
        <v>56.5</v>
      </c>
      <c r="E13" s="93">
        <v>49.72</v>
      </c>
      <c r="F13" s="93">
        <v>45.2</v>
      </c>
      <c r="G13" s="93">
        <v>36.159999999999997</v>
      </c>
      <c r="H13" s="93">
        <v>27.12</v>
      </c>
      <c r="I13" s="93">
        <v>22.6</v>
      </c>
      <c r="J13" s="93">
        <v>4.5199999999999996</v>
      </c>
      <c r="K13" s="1"/>
      <c r="L13" s="118"/>
    </row>
    <row r="14" spans="1:12" ht="15" customHeight="1" x14ac:dyDescent="0.2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1"/>
      <c r="L14" s="118"/>
    </row>
    <row r="15" spans="1:12" ht="15.7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18"/>
    </row>
    <row r="16" spans="1:12" ht="15.75" customHeight="1" thickBot="1" x14ac:dyDescent="0.3">
      <c r="A16" s="1"/>
      <c r="B16" s="115" t="s">
        <v>49</v>
      </c>
      <c r="C16" s="116"/>
      <c r="D16" s="116"/>
      <c r="E16" s="116"/>
      <c r="F16" s="116"/>
      <c r="G16" s="116"/>
      <c r="H16" s="116"/>
      <c r="I16" s="116"/>
      <c r="J16" s="117"/>
      <c r="K16" s="1"/>
      <c r="L16" s="118"/>
    </row>
    <row r="17" spans="1:12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18"/>
    </row>
    <row r="18" spans="1:12" ht="15" customHeight="1" x14ac:dyDescent="0.25">
      <c r="A18" s="1"/>
      <c r="B18" s="120" t="s">
        <v>46</v>
      </c>
      <c r="C18" s="120"/>
      <c r="D18" s="120"/>
      <c r="E18" s="120"/>
      <c r="F18" s="120"/>
      <c r="G18" s="120"/>
      <c r="H18" s="120"/>
      <c r="I18" s="120"/>
      <c r="J18" s="120"/>
      <c r="K18" s="1"/>
      <c r="L18" s="118"/>
    </row>
    <row r="19" spans="1:12" ht="15" customHeight="1" x14ac:dyDescent="0.25">
      <c r="A19" s="119" t="s">
        <v>47</v>
      </c>
      <c r="B19" s="96" t="s">
        <v>48</v>
      </c>
      <c r="C19" s="7">
        <v>1</v>
      </c>
      <c r="D19" s="7">
        <v>2</v>
      </c>
      <c r="E19" s="7">
        <v>3</v>
      </c>
      <c r="F19" s="7">
        <v>4</v>
      </c>
      <c r="G19" s="7">
        <v>5</v>
      </c>
      <c r="H19" s="7">
        <v>6</v>
      </c>
      <c r="I19" s="7">
        <v>7</v>
      </c>
      <c r="J19" s="7">
        <v>8</v>
      </c>
      <c r="K19" s="1"/>
      <c r="L19" s="118"/>
    </row>
    <row r="20" spans="1:12" ht="15" customHeight="1" x14ac:dyDescent="0.25">
      <c r="A20" s="119"/>
      <c r="B20" s="7">
        <v>1</v>
      </c>
      <c r="C20" s="93">
        <v>11.24</v>
      </c>
      <c r="D20" s="93">
        <v>10.77</v>
      </c>
      <c r="E20" s="93">
        <v>10.039999999999999</v>
      </c>
      <c r="F20" s="93">
        <v>9.56</v>
      </c>
      <c r="G20" s="93">
        <v>8.6</v>
      </c>
      <c r="H20" s="93">
        <v>7.63</v>
      </c>
      <c r="I20" s="93">
        <v>7.06</v>
      </c>
      <c r="J20" s="93">
        <v>1.51</v>
      </c>
      <c r="K20" s="1"/>
      <c r="L20" s="118"/>
    </row>
    <row r="21" spans="1:12" ht="15" customHeight="1" x14ac:dyDescent="0.25">
      <c r="A21" s="119"/>
      <c r="B21" s="7">
        <v>2</v>
      </c>
      <c r="C21" s="93">
        <v>12.15</v>
      </c>
      <c r="D21" s="93">
        <v>11.63</v>
      </c>
      <c r="E21" s="93">
        <v>10.85</v>
      </c>
      <c r="F21" s="93">
        <v>10.33</v>
      </c>
      <c r="G21" s="93">
        <v>9.2899999999999991</v>
      </c>
      <c r="H21" s="93">
        <v>8.24</v>
      </c>
      <c r="I21" s="93">
        <v>7.62</v>
      </c>
      <c r="J21" s="93">
        <v>1.62</v>
      </c>
      <c r="K21" s="1"/>
      <c r="L21" s="118"/>
    </row>
    <row r="22" spans="1:12" ht="15" customHeight="1" x14ac:dyDescent="0.25">
      <c r="A22" s="119"/>
      <c r="B22" s="7">
        <v>3</v>
      </c>
      <c r="C22" s="93">
        <v>13.81</v>
      </c>
      <c r="D22" s="93">
        <v>13.21</v>
      </c>
      <c r="E22" s="93">
        <v>12.33</v>
      </c>
      <c r="F22" s="93">
        <v>11.74</v>
      </c>
      <c r="G22" s="93">
        <v>10.55</v>
      </c>
      <c r="H22" s="93">
        <v>9.3699999999999992</v>
      </c>
      <c r="I22" s="93">
        <v>8.66</v>
      </c>
      <c r="J22" s="93">
        <v>1.85</v>
      </c>
      <c r="K22" s="1"/>
      <c r="L22" s="118"/>
    </row>
    <row r="23" spans="1:12" ht="15" customHeight="1" x14ac:dyDescent="0.25">
      <c r="A23" s="119"/>
      <c r="B23" s="7">
        <v>4</v>
      </c>
      <c r="C23" s="93">
        <v>15.19</v>
      </c>
      <c r="D23" s="93">
        <v>14.53</v>
      </c>
      <c r="E23" s="93">
        <v>13.56</v>
      </c>
      <c r="F23" s="93">
        <v>12.91</v>
      </c>
      <c r="G23" s="93">
        <v>11.61</v>
      </c>
      <c r="H23" s="93">
        <v>10.31</v>
      </c>
      <c r="I23" s="93">
        <v>9.5299999999999994</v>
      </c>
      <c r="J23" s="93">
        <v>2.0299999999999998</v>
      </c>
      <c r="K23" s="1"/>
      <c r="L23" s="118"/>
    </row>
    <row r="24" spans="1:12" ht="15" customHeight="1" x14ac:dyDescent="0.25">
      <c r="A24" s="119"/>
      <c r="B24" s="7">
        <v>5</v>
      </c>
      <c r="C24" s="93">
        <v>18.98</v>
      </c>
      <c r="D24" s="93">
        <v>18.170000000000002</v>
      </c>
      <c r="E24" s="93">
        <v>16.95</v>
      </c>
      <c r="F24" s="93">
        <v>16.14</v>
      </c>
      <c r="G24" s="93">
        <v>14.51</v>
      </c>
      <c r="H24" s="93">
        <v>12.88</v>
      </c>
      <c r="I24" s="93">
        <v>11.91</v>
      </c>
      <c r="J24" s="93">
        <v>2.54</v>
      </c>
      <c r="K24" s="1"/>
      <c r="L24" s="118"/>
    </row>
    <row r="25" spans="1:12" ht="15" customHeight="1" x14ac:dyDescent="0.25">
      <c r="A25" s="119"/>
      <c r="B25" s="7">
        <v>6</v>
      </c>
      <c r="C25" s="93">
        <v>25.31</v>
      </c>
      <c r="D25" s="93">
        <v>24.23</v>
      </c>
      <c r="E25" s="93">
        <v>22.6</v>
      </c>
      <c r="F25" s="93">
        <v>21.51</v>
      </c>
      <c r="G25" s="93">
        <v>19.350000000000001</v>
      </c>
      <c r="H25" s="93">
        <v>17.18</v>
      </c>
      <c r="I25" s="93">
        <v>15.88</v>
      </c>
      <c r="J25" s="93">
        <v>3.39</v>
      </c>
      <c r="K25" s="1"/>
      <c r="L25" s="118"/>
    </row>
    <row r="26" spans="1:12" ht="15" customHeight="1" x14ac:dyDescent="0.25">
      <c r="A26" s="119"/>
      <c r="B26" s="7">
        <v>7</v>
      </c>
      <c r="C26" s="93">
        <v>30.37</v>
      </c>
      <c r="D26" s="93">
        <v>29.07</v>
      </c>
      <c r="E26" s="93">
        <v>27.12</v>
      </c>
      <c r="F26" s="93">
        <v>25.82</v>
      </c>
      <c r="G26" s="93">
        <v>23.21</v>
      </c>
      <c r="H26" s="93">
        <v>20.61</v>
      </c>
      <c r="I26" s="93">
        <v>19.05</v>
      </c>
      <c r="J26" s="93">
        <v>4.07</v>
      </c>
      <c r="K26" s="1"/>
      <c r="L26" s="118"/>
    </row>
    <row r="27" spans="1:12" ht="15" customHeight="1" x14ac:dyDescent="0.25">
      <c r="A27" s="119"/>
      <c r="B27" s="7">
        <v>8</v>
      </c>
      <c r="C27" s="93">
        <v>151.87</v>
      </c>
      <c r="D27" s="93">
        <v>145.36000000000001</v>
      </c>
      <c r="E27" s="93">
        <v>135.6</v>
      </c>
      <c r="F27" s="93">
        <v>129.09</v>
      </c>
      <c r="G27" s="93">
        <v>116.07</v>
      </c>
      <c r="H27" s="93">
        <v>103.05</v>
      </c>
      <c r="I27" s="93">
        <v>95.26</v>
      </c>
      <c r="J27" s="93">
        <v>20.329999999999998</v>
      </c>
      <c r="K27" s="1"/>
      <c r="L27" s="118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</sheetData>
  <sheetProtection algorithmName="SHA-512" hashValue="TMRX1qcwCldM2382LnpbsvVSZ0ber8xYwni6tEvf1mt6eUvjhO2AXbo1Uh+P09TwwXudrevCjpJUziqO1wV70w==" saltValue="xqOH0gn6vKyGsYuBaNzOvg==" spinCount="100000" sheet="1" objects="1" scenarios="1"/>
  <mergeCells count="7">
    <mergeCell ref="B2:J2"/>
    <mergeCell ref="L2:L27"/>
    <mergeCell ref="A5:A13"/>
    <mergeCell ref="B16:J16"/>
    <mergeCell ref="A19:A27"/>
    <mergeCell ref="B18:J18"/>
    <mergeCell ref="B4:J4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6AF39-1A10-4633-A457-B671BFEFF5EC}">
  <dimension ref="A1:AP344"/>
  <sheetViews>
    <sheetView zoomScale="70" zoomScaleNormal="70" workbookViewId="0">
      <selection activeCell="B2" sqref="B2"/>
    </sheetView>
  </sheetViews>
  <sheetFormatPr defaultRowHeight="15" x14ac:dyDescent="0.25"/>
  <cols>
    <col min="1" max="1" width="30.42578125" customWidth="1"/>
    <col min="2" max="2" width="15.42578125" customWidth="1"/>
    <col min="3" max="3" width="15.5703125" customWidth="1"/>
    <col min="4" max="4" width="16.42578125" customWidth="1"/>
    <col min="5" max="6" width="16.5703125" customWidth="1"/>
    <col min="7" max="7" width="17.5703125" style="24" customWidth="1"/>
    <col min="8" max="10" width="30.5703125" hidden="1" customWidth="1"/>
    <col min="11" max="11" width="27" customWidth="1"/>
    <col min="12" max="12" width="22.5703125" hidden="1" customWidth="1"/>
    <col min="13" max="13" width="16.5703125" customWidth="1"/>
    <col min="14" max="14" width="18.42578125" customWidth="1"/>
    <col min="15" max="18" width="16.5703125" customWidth="1"/>
    <col min="19" max="19" width="9.42578125" style="3"/>
    <col min="20" max="20" width="9.42578125" style="3" hidden="1" customWidth="1"/>
    <col min="21" max="23" width="0" style="3" hidden="1" customWidth="1"/>
    <col min="24" max="38" width="9.42578125" style="3"/>
  </cols>
  <sheetData>
    <row r="1" spans="1:42" ht="111" customHeight="1" x14ac:dyDescent="0.25">
      <c r="A1" s="1"/>
      <c r="B1" s="1"/>
      <c r="C1" s="1"/>
      <c r="D1" s="2" t="s">
        <v>51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4"/>
    </row>
    <row r="2" spans="1:42" s="6" customFormat="1" ht="63" customHeight="1" x14ac:dyDescent="0.2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42</v>
      </c>
      <c r="I2" s="4" t="s">
        <v>43</v>
      </c>
      <c r="J2" s="4" t="s">
        <v>40</v>
      </c>
      <c r="K2" s="4" t="s">
        <v>7</v>
      </c>
      <c r="L2" s="4" t="s">
        <v>41</v>
      </c>
      <c r="M2" s="4" t="s">
        <v>54</v>
      </c>
      <c r="N2" s="4" t="s">
        <v>39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2" s="18" customFormat="1" ht="34.5" customHeight="1" x14ac:dyDescent="0.25">
      <c r="A3" s="7" t="s">
        <v>15</v>
      </c>
      <c r="B3" s="8">
        <v>0</v>
      </c>
      <c r="C3" s="9">
        <v>0</v>
      </c>
      <c r="D3" s="9" t="s">
        <v>16</v>
      </c>
      <c r="E3" s="9" t="s">
        <v>16</v>
      </c>
      <c r="F3" s="10">
        <v>8</v>
      </c>
      <c r="G3" s="11">
        <f>VLOOKUP(F3,G25:H32,2)</f>
        <v>0.1</v>
      </c>
      <c r="H3" s="82" t="str">
        <f>IF(B3&gt;50%,"YES","NO")</f>
        <v>NO</v>
      </c>
      <c r="I3" s="11" t="str">
        <f>IF(D3="YES","YES",IF(E3="YES","YES",IF(D3="NO","NO",IF(E3="NO","NO"))))</f>
        <v>NO</v>
      </c>
      <c r="J3" s="11" t="str">
        <f>IF(H3="NO","NO",IF(I3="NO","NO",IF(I3="YES","YES",IF(H3="YES","YES"))))</f>
        <v>NO</v>
      </c>
      <c r="K3" s="10" t="s">
        <v>16</v>
      </c>
      <c r="L3" s="83" t="str">
        <f>IF(J3="NO","NO",IF(K3="NO","NO",IF(J3="YES","YES",IF(K3="YES","YES"))))</f>
        <v>NO</v>
      </c>
      <c r="M3" s="10" t="s">
        <v>16</v>
      </c>
      <c r="N3" s="12">
        <f>(IF(L3="YES",1.2,1)*IF(M3="YES",1.2,1))*G3</f>
        <v>0.1</v>
      </c>
      <c r="O3" s="13">
        <v>20000</v>
      </c>
      <c r="P3" s="14">
        <f>N3*O3</f>
        <v>2000</v>
      </c>
      <c r="Q3" s="13">
        <v>100000</v>
      </c>
      <c r="R3" s="11">
        <f>P3/Q3</f>
        <v>0.02</v>
      </c>
      <c r="S3" s="15">
        <f>G13</f>
        <v>0.15</v>
      </c>
      <c r="T3" s="16"/>
      <c r="U3" s="17"/>
      <c r="V3" s="17" t="s">
        <v>17</v>
      </c>
      <c r="W3" s="17">
        <v>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2" s="18" customFormat="1" ht="34.5" customHeight="1" x14ac:dyDescent="0.25">
      <c r="A4" s="7" t="s">
        <v>18</v>
      </c>
      <c r="B4" s="8">
        <v>0.51</v>
      </c>
      <c r="C4" s="9">
        <v>0.35</v>
      </c>
      <c r="D4" s="9" t="s">
        <v>17</v>
      </c>
      <c r="E4" s="9" t="s">
        <v>16</v>
      </c>
      <c r="F4" s="10">
        <v>8</v>
      </c>
      <c r="G4" s="11">
        <f>VLOOKUP(F4,G25:H32,2)</f>
        <v>0.1</v>
      </c>
      <c r="H4" s="82" t="str">
        <f>IF(B4&gt;50%,"YES","NO")</f>
        <v>YES</v>
      </c>
      <c r="I4" s="11" t="str">
        <f>IF(D4="YES","YES",IF(E4="YES","YES",IF(D4="NO","NO",IF(E4="NO","NO"))))</f>
        <v>YES</v>
      </c>
      <c r="J4" s="11" t="str">
        <f>IF(H4="NO","NO",IF(I4="NO","NO",IF(I4="YES","YES",IF(H4="YES","YES"))))</f>
        <v>YES</v>
      </c>
      <c r="K4" s="10" t="s">
        <v>17</v>
      </c>
      <c r="L4" s="83" t="str">
        <f>IF(J4="NO","NO",IF(K4="NO","NO",IF(J4="YES","YES",IF(K4="YES","YES"))))</f>
        <v>YES</v>
      </c>
      <c r="M4" s="10" t="s">
        <v>17</v>
      </c>
      <c r="N4" s="12">
        <f>(IF(L4="YES",1.2,1)*IF(M4="YES",1.2,1))*G4</f>
        <v>0.14399999999999999</v>
      </c>
      <c r="O4" s="13">
        <v>20000</v>
      </c>
      <c r="P4" s="14">
        <f>N4*O4</f>
        <v>2880</v>
      </c>
      <c r="Q4" s="13">
        <v>100000</v>
      </c>
      <c r="R4" s="11">
        <f>P4/Q4</f>
        <v>2.8799999999999999E-2</v>
      </c>
      <c r="S4" s="19">
        <f>R13</f>
        <v>1.7423999999999999</v>
      </c>
      <c r="T4" s="20">
        <f>S4/S3</f>
        <v>11.616</v>
      </c>
      <c r="U4" s="17"/>
      <c r="V4" s="17" t="s">
        <v>16</v>
      </c>
      <c r="W4" s="17">
        <v>2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2" s="24" customFormat="1" x14ac:dyDescent="0.25">
      <c r="A5" s="21"/>
      <c r="B5" s="22"/>
      <c r="C5" s="23"/>
      <c r="E5" s="25"/>
      <c r="F5" s="26"/>
      <c r="G5" s="26"/>
      <c r="H5" s="26"/>
      <c r="I5" s="26"/>
      <c r="J5" s="26"/>
      <c r="K5" s="23"/>
      <c r="L5" s="27"/>
      <c r="M5" s="27"/>
      <c r="T5" s="3"/>
      <c r="U5" s="28">
        <v>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2" s="24" customFormat="1" x14ac:dyDescent="0.25">
      <c r="A6" s="21"/>
      <c r="B6" s="22"/>
      <c r="C6" s="23"/>
      <c r="D6" s="29"/>
      <c r="E6" s="30"/>
      <c r="F6" s="26"/>
      <c r="G6" s="26"/>
      <c r="H6" s="26"/>
      <c r="I6" s="26"/>
      <c r="J6" s="26"/>
      <c r="K6" s="23"/>
      <c r="L6" s="27"/>
      <c r="M6" s="27"/>
      <c r="U6" s="29">
        <v>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2" s="24" customFormat="1" ht="36.75" customHeight="1" x14ac:dyDescent="0.25">
      <c r="A7" s="31"/>
      <c r="B7" s="32" t="s">
        <v>13</v>
      </c>
      <c r="C7" s="32" t="s">
        <v>14</v>
      </c>
      <c r="D7" s="33"/>
      <c r="E7" s="34"/>
      <c r="F7" s="35"/>
      <c r="G7" s="35"/>
      <c r="H7" s="36"/>
      <c r="I7" s="36"/>
      <c r="J7" s="36"/>
      <c r="K7" s="36"/>
      <c r="L7" s="37"/>
      <c r="M7" s="37"/>
      <c r="N7" s="1"/>
      <c r="O7" s="1"/>
      <c r="P7" s="1"/>
      <c r="Q7" s="1"/>
      <c r="R7" s="1"/>
      <c r="U7" s="29">
        <v>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2" s="24" customFormat="1" ht="34.5" customHeight="1" x14ac:dyDescent="0.7">
      <c r="A8" s="38" t="s">
        <v>19</v>
      </c>
      <c r="B8" s="39">
        <f>G13</f>
        <v>0.15</v>
      </c>
      <c r="C8" s="40"/>
      <c r="D8" s="33"/>
      <c r="E8" s="34"/>
      <c r="F8" s="41"/>
      <c r="G8" s="35"/>
      <c r="H8" s="35"/>
      <c r="I8" s="35"/>
      <c r="J8" s="35"/>
      <c r="K8" s="36"/>
      <c r="L8" s="37"/>
      <c r="M8" s="37"/>
      <c r="N8" s="1"/>
      <c r="O8" s="1"/>
      <c r="P8" s="1"/>
      <c r="Q8" s="1"/>
      <c r="R8" s="1"/>
      <c r="U8" s="29">
        <v>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2" s="24" customFormat="1" ht="34.5" customHeight="1" x14ac:dyDescent="0.25">
      <c r="A9" s="38" t="s">
        <v>20</v>
      </c>
      <c r="B9" s="42">
        <f>R13</f>
        <v>1.7423999999999999</v>
      </c>
      <c r="C9" s="20">
        <f>B9/B8</f>
        <v>11.616</v>
      </c>
      <c r="D9" s="33"/>
      <c r="E9" s="34"/>
      <c r="F9" s="35"/>
      <c r="G9" s="35"/>
      <c r="H9" s="35"/>
      <c r="I9" s="35"/>
      <c r="J9" s="35"/>
      <c r="K9" s="36"/>
      <c r="L9" s="37"/>
      <c r="M9" s="37"/>
      <c r="N9" s="1"/>
      <c r="O9" s="1"/>
      <c r="P9" s="1"/>
      <c r="Q9" s="1"/>
      <c r="R9" s="1"/>
      <c r="U9" s="29">
        <v>7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2" s="24" customFormat="1" ht="18.75" x14ac:dyDescent="0.3">
      <c r="A10" s="43"/>
      <c r="B10" s="44"/>
      <c r="C10" s="36"/>
      <c r="D10" s="33"/>
      <c r="E10" s="34"/>
      <c r="F10" s="35"/>
      <c r="G10" s="35"/>
      <c r="H10" s="35"/>
      <c r="I10" s="35"/>
      <c r="J10" s="35"/>
      <c r="K10" s="36"/>
      <c r="L10" s="37"/>
      <c r="M10" s="37"/>
      <c r="N10" s="1"/>
      <c r="O10" s="1"/>
      <c r="P10" s="1"/>
      <c r="Q10" s="1"/>
      <c r="R10" s="1"/>
      <c r="U10" s="29">
        <v>8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42" s="24" customFormat="1" x14ac:dyDescent="0.25">
      <c r="A11" s="45"/>
      <c r="B11" s="44"/>
      <c r="C11" s="36"/>
      <c r="D11" s="33"/>
      <c r="E11" s="34"/>
      <c r="F11" s="35"/>
      <c r="G11" s="35"/>
      <c r="H11" s="35"/>
      <c r="I11" s="35"/>
      <c r="J11" s="35"/>
      <c r="K11" s="36"/>
      <c r="L11" s="37"/>
      <c r="M11" s="37"/>
      <c r="N11" s="1"/>
      <c r="O11" s="1"/>
      <c r="P11" s="1"/>
      <c r="Q11" s="1"/>
      <c r="R11" s="1"/>
      <c r="U11" s="2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42" ht="15.75" thickBot="1" x14ac:dyDescent="0.3">
      <c r="A12" s="1"/>
      <c r="B12" s="1"/>
      <c r="C12" s="1"/>
      <c r="D12" s="1"/>
      <c r="E12" s="1"/>
      <c r="F12" s="1"/>
      <c r="G12" s="4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4"/>
      <c r="T12" s="24"/>
      <c r="U12" s="24"/>
      <c r="V12" s="24"/>
    </row>
    <row r="13" spans="1:42" ht="35.25" customHeight="1" thickBot="1" x14ac:dyDescent="0.3">
      <c r="A13" s="110" t="s">
        <v>21</v>
      </c>
      <c r="B13" s="111"/>
      <c r="C13" s="111"/>
      <c r="D13" s="111"/>
      <c r="E13" s="111"/>
      <c r="F13" s="111"/>
      <c r="G13" s="47">
        <f>E16</f>
        <v>0.15</v>
      </c>
      <c r="I13" s="84"/>
      <c r="J13" s="84"/>
      <c r="K13" s="110" t="s">
        <v>22</v>
      </c>
      <c r="L13" s="111"/>
      <c r="M13" s="111"/>
      <c r="N13" s="111"/>
      <c r="O13" s="111"/>
      <c r="P13" s="111"/>
      <c r="Q13" s="122"/>
      <c r="R13" s="47">
        <f>P16</f>
        <v>1.7423999999999999</v>
      </c>
      <c r="S13" s="24"/>
      <c r="T13" s="24"/>
      <c r="U13" s="24"/>
      <c r="V13" s="24"/>
    </row>
    <row r="14" spans="1:42" x14ac:dyDescent="0.25">
      <c r="A14" s="48"/>
      <c r="B14" s="1"/>
      <c r="C14" s="1"/>
      <c r="D14" s="1"/>
      <c r="E14" s="1"/>
      <c r="F14" s="46"/>
      <c r="G14" s="4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4"/>
      <c r="T14" s="24"/>
      <c r="U14" s="24"/>
      <c r="V14" s="24"/>
    </row>
    <row r="15" spans="1:42" ht="50.25" customHeight="1" x14ac:dyDescent="0.25">
      <c r="A15" s="112" t="s">
        <v>53</v>
      </c>
      <c r="B15" s="113"/>
      <c r="C15" s="113"/>
      <c r="D15" s="113"/>
      <c r="E15" s="114"/>
      <c r="F15" s="32" t="s">
        <v>44</v>
      </c>
      <c r="G15" s="50"/>
      <c r="H15" s="80"/>
      <c r="I15" s="80"/>
      <c r="J15" s="80"/>
      <c r="K15" s="112" t="s">
        <v>53</v>
      </c>
      <c r="L15" s="113"/>
      <c r="M15" s="113"/>
      <c r="N15" s="113"/>
      <c r="O15" s="113"/>
      <c r="P15" s="114"/>
      <c r="Q15" s="32" t="s">
        <v>24</v>
      </c>
      <c r="R15" s="85"/>
      <c r="S15" s="24"/>
      <c r="T15" s="1"/>
      <c r="U15" s="1"/>
      <c r="V15" s="1"/>
      <c r="AM15" s="3"/>
      <c r="AN15" s="3"/>
      <c r="AO15" s="3"/>
      <c r="AP15" s="3"/>
    </row>
    <row r="16" spans="1:42" ht="60" x14ac:dyDescent="0.25">
      <c r="A16" s="51" t="s">
        <v>25</v>
      </c>
      <c r="B16" s="7">
        <v>19</v>
      </c>
      <c r="C16" s="7"/>
      <c r="D16" s="7"/>
      <c r="E16" s="52">
        <f>SUM(E18:E22)</f>
        <v>0.15</v>
      </c>
      <c r="F16" s="53" t="str">
        <f>IF((E16/B16)&lt;40%,"You do not comply to the 40% sub minimum",E16/B16)</f>
        <v>You do not comply to the 40% sub minimum</v>
      </c>
      <c r="G16" s="50"/>
      <c r="H16" s="80"/>
      <c r="I16" s="80"/>
      <c r="J16" s="80"/>
      <c r="K16" s="54" t="s">
        <v>25</v>
      </c>
      <c r="L16" s="54"/>
      <c r="M16" s="7">
        <v>19</v>
      </c>
      <c r="N16" s="7"/>
      <c r="O16" s="7"/>
      <c r="P16" s="52">
        <f>SUM(P17:P22)</f>
        <v>1.7423999999999999</v>
      </c>
      <c r="Q16" s="53" t="str">
        <f>IF((P16/M16)&lt;40%,"You do not comply to the 40% sub minimum",P16/M16)</f>
        <v>You do not comply to the 40% sub minimum</v>
      </c>
      <c r="R16" s="1"/>
      <c r="S16" s="1"/>
      <c r="T16" s="1"/>
      <c r="AM16" s="3"/>
      <c r="AN16" s="3"/>
    </row>
    <row r="17" spans="1:40" ht="29.25" customHeight="1" x14ac:dyDescent="0.25">
      <c r="A17" s="55"/>
      <c r="B17" s="32" t="s">
        <v>26</v>
      </c>
      <c r="C17" s="32" t="s">
        <v>27</v>
      </c>
      <c r="D17" s="32" t="s">
        <v>12</v>
      </c>
      <c r="E17" s="91" t="s">
        <v>28</v>
      </c>
      <c r="F17" s="89"/>
      <c r="G17" s="50"/>
      <c r="H17" s="80"/>
      <c r="I17" s="80"/>
      <c r="J17" s="80"/>
      <c r="K17" s="56"/>
      <c r="L17" s="56"/>
      <c r="M17" s="32" t="s">
        <v>26</v>
      </c>
      <c r="N17" s="32" t="s">
        <v>27</v>
      </c>
      <c r="O17" s="32" t="s">
        <v>12</v>
      </c>
      <c r="P17" s="91" t="s">
        <v>28</v>
      </c>
      <c r="Q17" s="89"/>
      <c r="R17" s="1"/>
      <c r="S17" s="1"/>
      <c r="T17" s="1"/>
      <c r="AM17" s="3"/>
      <c r="AN17" s="3"/>
    </row>
    <row r="18" spans="1:40" s="65" customFormat="1" ht="117" customHeight="1" x14ac:dyDescent="0.25">
      <c r="A18" s="57" t="s">
        <v>29</v>
      </c>
      <c r="B18" s="58">
        <v>6</v>
      </c>
      <c r="C18" s="59">
        <v>0.8</v>
      </c>
      <c r="D18" s="11">
        <f>R3</f>
        <v>0.02</v>
      </c>
      <c r="E18" s="90">
        <f>IF((D18/C18*B18)&gt;6,6,(D18/C18*B18))</f>
        <v>0.15</v>
      </c>
      <c r="F18" s="86"/>
      <c r="G18" s="61"/>
      <c r="H18" s="81"/>
      <c r="I18" s="81"/>
      <c r="J18" s="81"/>
      <c r="K18" s="62" t="s">
        <v>29</v>
      </c>
      <c r="L18" s="62">
        <v>6</v>
      </c>
      <c r="M18" s="58">
        <v>6</v>
      </c>
      <c r="N18" s="59">
        <v>0.8</v>
      </c>
      <c r="O18" s="11">
        <f>R4</f>
        <v>2.8799999999999999E-2</v>
      </c>
      <c r="P18" s="90">
        <f>IF((O18/N18*M18)&gt;6,6,(O18/N18*M18))</f>
        <v>0.21599999999999997</v>
      </c>
      <c r="Q18" s="86"/>
      <c r="R18" s="63"/>
      <c r="S18" s="63"/>
      <c r="T18" s="63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5" customFormat="1" ht="114.75" customHeight="1" x14ac:dyDescent="0.25">
      <c r="A19" s="57" t="s">
        <v>30</v>
      </c>
      <c r="B19" s="58">
        <v>3</v>
      </c>
      <c r="C19" s="59">
        <v>0.15</v>
      </c>
      <c r="D19" s="11">
        <f>IF(E3="yes",R3,0)</f>
        <v>0</v>
      </c>
      <c r="E19" s="60">
        <f>IF((D19/C19*B19)&gt;3,3,(D19/C19*B19))</f>
        <v>0</v>
      </c>
      <c r="F19" s="87"/>
      <c r="G19" s="61"/>
      <c r="H19" s="81"/>
      <c r="I19" s="81"/>
      <c r="J19" s="81"/>
      <c r="K19" s="62" t="s">
        <v>30</v>
      </c>
      <c r="L19" s="62">
        <v>3</v>
      </c>
      <c r="M19" s="58">
        <v>3</v>
      </c>
      <c r="N19" s="59">
        <v>0.15</v>
      </c>
      <c r="O19" s="11">
        <f>IF(E4="yes",R4,0)</f>
        <v>0</v>
      </c>
      <c r="P19" s="60">
        <f>IF((O19/N19*M19)&gt;3,3,(O19/N19*M19))</f>
        <v>0</v>
      </c>
      <c r="Q19" s="87"/>
      <c r="R19" s="63"/>
      <c r="S19" s="63"/>
      <c r="T19" s="6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5" customFormat="1" ht="124.5" customHeight="1" x14ac:dyDescent="0.25">
      <c r="A20" s="57" t="s">
        <v>31</v>
      </c>
      <c r="B20" s="58">
        <v>3</v>
      </c>
      <c r="C20" s="59">
        <v>0.15</v>
      </c>
      <c r="D20" s="11">
        <f>IF(D3="yes",R3,0)</f>
        <v>0</v>
      </c>
      <c r="E20" s="60">
        <f>IF((D20/C20*B20)&gt;3,3,(D20/C20*B20))</f>
        <v>0</v>
      </c>
      <c r="F20" s="87"/>
      <c r="G20" s="61"/>
      <c r="H20" s="81"/>
      <c r="I20" s="81"/>
      <c r="J20" s="81"/>
      <c r="K20" s="62" t="s">
        <v>31</v>
      </c>
      <c r="L20" s="62">
        <v>3</v>
      </c>
      <c r="M20" s="58">
        <v>3</v>
      </c>
      <c r="N20" s="59">
        <v>0.15</v>
      </c>
      <c r="O20" s="11">
        <f>IF(D4="yes",R4,0)</f>
        <v>2.8799999999999999E-2</v>
      </c>
      <c r="P20" s="60">
        <f>IF((O20/N20*M20)&gt;3,3,(O20/N20*M20))</f>
        <v>0.57600000000000007</v>
      </c>
      <c r="Q20" s="87"/>
      <c r="R20" s="63"/>
      <c r="S20" s="63"/>
      <c r="T20" s="6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5" customFormat="1" ht="146.25" customHeight="1" x14ac:dyDescent="0.25">
      <c r="A21" s="57" t="s">
        <v>32</v>
      </c>
      <c r="B21" s="58">
        <v>4</v>
      </c>
      <c r="C21" s="59">
        <v>0.2</v>
      </c>
      <c r="D21" s="11">
        <f>IF(B3&gt;50%,R3,0)</f>
        <v>0</v>
      </c>
      <c r="E21" s="60">
        <f>IF((D21/C21*B21)&gt;4,4,(D21/C21*B21))</f>
        <v>0</v>
      </c>
      <c r="F21" s="88"/>
      <c r="G21" s="61"/>
      <c r="H21" s="81"/>
      <c r="I21" s="81"/>
      <c r="J21" s="81"/>
      <c r="K21" s="62" t="s">
        <v>32</v>
      </c>
      <c r="L21" s="62">
        <v>4</v>
      </c>
      <c r="M21" s="58">
        <v>4</v>
      </c>
      <c r="N21" s="59">
        <v>0.5</v>
      </c>
      <c r="O21" s="11">
        <f>IF(B4&gt;50%,R4,0)</f>
        <v>2.8799999999999999E-2</v>
      </c>
      <c r="P21" s="60">
        <f>IF((O21/N21*M21)&gt;4,4,(O21/N21*M21))</f>
        <v>0.23039999999999999</v>
      </c>
      <c r="Q21" s="88"/>
      <c r="R21" s="63"/>
      <c r="S21" s="63"/>
      <c r="T21" s="6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5" customFormat="1" ht="148.5" customHeight="1" x14ac:dyDescent="0.25">
      <c r="A22" s="57" t="s">
        <v>52</v>
      </c>
      <c r="B22" s="58">
        <v>3</v>
      </c>
      <c r="C22" s="59">
        <v>0.12</v>
      </c>
      <c r="D22" s="11">
        <f>IF(C3&gt;34%,R4,0)</f>
        <v>0</v>
      </c>
      <c r="E22" s="60">
        <f>IF((D22/C22*B22)&gt;3,3,(D22/C22*B22))</f>
        <v>0</v>
      </c>
      <c r="F22" s="87"/>
      <c r="G22" s="61"/>
      <c r="H22" s="81"/>
      <c r="I22" s="81"/>
      <c r="J22" s="81"/>
      <c r="K22" s="62" t="s">
        <v>52</v>
      </c>
      <c r="L22" s="62">
        <v>3</v>
      </c>
      <c r="M22" s="58">
        <v>3</v>
      </c>
      <c r="N22" s="59">
        <v>0.12</v>
      </c>
      <c r="O22" s="11">
        <f>IF(C4&gt;34%,R4,0)</f>
        <v>2.8799999999999999E-2</v>
      </c>
      <c r="P22" s="60">
        <f>IF((O22/N22*M22)&gt;3,3,(O22/N22*M22))</f>
        <v>0.72</v>
      </c>
      <c r="Q22" s="87"/>
      <c r="R22" s="63"/>
      <c r="S22" s="63"/>
      <c r="T22" s="6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thickBot="1" x14ac:dyDescent="0.3">
      <c r="A23" s="66"/>
      <c r="B23" s="67"/>
      <c r="C23" s="67"/>
      <c r="D23" s="67"/>
      <c r="E23" s="67"/>
      <c r="F23" s="67"/>
      <c r="G23" s="68"/>
      <c r="H23" s="67"/>
      <c r="I23" s="67"/>
      <c r="J23" s="67"/>
      <c r="K23" s="67"/>
      <c r="L23" s="67"/>
      <c r="M23" s="69"/>
      <c r="N23" s="1"/>
      <c r="O23" s="1"/>
      <c r="P23" s="1"/>
      <c r="Q23" s="3"/>
      <c r="R23" s="3"/>
      <c r="AK23"/>
      <c r="AL23"/>
    </row>
    <row r="24" spans="1:40" ht="15.75" hidden="1" thickBot="1" x14ac:dyDescent="0.3">
      <c r="G24" s="70"/>
      <c r="H24" s="71"/>
      <c r="Q24" s="3"/>
      <c r="R24" s="3"/>
      <c r="AK24"/>
      <c r="AL24"/>
    </row>
    <row r="25" spans="1:40" ht="16.5" hidden="1" thickTop="1" thickBot="1" x14ac:dyDescent="0.3">
      <c r="B25" s="72" t="s">
        <v>34</v>
      </c>
      <c r="C25" s="73" t="s">
        <v>35</v>
      </c>
      <c r="D25" s="74" t="s">
        <v>36</v>
      </c>
      <c r="E25" s="75" t="s">
        <v>37</v>
      </c>
      <c r="G25" s="76">
        <v>1</v>
      </c>
      <c r="H25" s="77">
        <v>1.35</v>
      </c>
      <c r="Q25" s="3"/>
      <c r="R25" s="3"/>
      <c r="AK25"/>
      <c r="AL25"/>
    </row>
    <row r="26" spans="1:40" ht="15.75" hidden="1" thickBot="1" x14ac:dyDescent="0.3">
      <c r="B26" s="76">
        <v>1</v>
      </c>
      <c r="C26" s="78">
        <v>100</v>
      </c>
      <c r="D26" s="78">
        <v>100</v>
      </c>
      <c r="E26" s="79">
        <v>1.35</v>
      </c>
      <c r="G26" s="76">
        <v>2</v>
      </c>
      <c r="H26" s="77">
        <v>1.25</v>
      </c>
      <c r="Q26" s="3"/>
      <c r="R26" s="3"/>
      <c r="AK26"/>
      <c r="AL26"/>
    </row>
    <row r="27" spans="1:40" ht="15.75" hidden="1" thickBot="1" x14ac:dyDescent="0.3">
      <c r="B27" s="76">
        <v>2</v>
      </c>
      <c r="C27" s="78">
        <v>85</v>
      </c>
      <c r="D27" s="78">
        <v>95</v>
      </c>
      <c r="E27" s="79">
        <v>1.25</v>
      </c>
      <c r="G27" s="76">
        <v>3</v>
      </c>
      <c r="H27" s="77">
        <v>1.1000000000000001</v>
      </c>
      <c r="Q27" s="3"/>
      <c r="R27" s="3"/>
      <c r="AK27"/>
      <c r="AL27"/>
    </row>
    <row r="28" spans="1:40" ht="15.75" hidden="1" thickBot="1" x14ac:dyDescent="0.3">
      <c r="B28" s="76">
        <v>3</v>
      </c>
      <c r="C28" s="78">
        <v>75</v>
      </c>
      <c r="D28" s="78">
        <v>90</v>
      </c>
      <c r="E28" s="79">
        <v>1.1000000000000001</v>
      </c>
      <c r="G28" s="76">
        <v>4</v>
      </c>
      <c r="H28" s="77">
        <v>1</v>
      </c>
      <c r="Q28" s="3"/>
      <c r="R28" s="3"/>
      <c r="AK28"/>
      <c r="AL28"/>
    </row>
    <row r="29" spans="1:40" ht="15.75" hidden="1" thickBot="1" x14ac:dyDescent="0.3">
      <c r="B29" s="76">
        <v>4</v>
      </c>
      <c r="C29" s="78">
        <v>65</v>
      </c>
      <c r="D29" s="78">
        <v>80</v>
      </c>
      <c r="E29" s="79">
        <v>1</v>
      </c>
      <c r="G29" s="76">
        <v>5</v>
      </c>
      <c r="H29" s="77">
        <v>0.8</v>
      </c>
      <c r="Q29" s="3"/>
      <c r="R29" s="3"/>
      <c r="AK29"/>
      <c r="AL29"/>
    </row>
    <row r="30" spans="1:40" ht="15.75" hidden="1" thickBot="1" x14ac:dyDescent="0.3">
      <c r="B30" s="76">
        <v>5</v>
      </c>
      <c r="C30" s="78">
        <v>55</v>
      </c>
      <c r="D30" s="78">
        <v>75</v>
      </c>
      <c r="E30" s="79">
        <v>0.8</v>
      </c>
      <c r="G30" s="76">
        <v>6</v>
      </c>
      <c r="H30" s="77">
        <v>0.6</v>
      </c>
      <c r="Q30" s="3"/>
      <c r="R30" s="3"/>
      <c r="AK30"/>
      <c r="AL30"/>
    </row>
    <row r="31" spans="1:40" ht="15.75" hidden="1" thickBot="1" x14ac:dyDescent="0.3">
      <c r="B31" s="76">
        <v>6</v>
      </c>
      <c r="C31" s="78">
        <v>45</v>
      </c>
      <c r="D31" s="78">
        <v>70</v>
      </c>
      <c r="E31" s="79">
        <v>0.6</v>
      </c>
      <c r="G31" s="76">
        <v>7</v>
      </c>
      <c r="H31" s="77">
        <v>0.5</v>
      </c>
      <c r="Q31" s="3"/>
      <c r="R31" s="3"/>
      <c r="AK31"/>
      <c r="AL31"/>
    </row>
    <row r="32" spans="1:40" ht="15.75" hidden="1" thickBot="1" x14ac:dyDescent="0.3">
      <c r="B32" s="76">
        <v>7</v>
      </c>
      <c r="C32" s="78">
        <v>40</v>
      </c>
      <c r="D32" s="78">
        <v>55</v>
      </c>
      <c r="E32" s="79">
        <v>0.5</v>
      </c>
      <c r="G32" s="76">
        <v>8</v>
      </c>
      <c r="H32" s="77">
        <v>0.1</v>
      </c>
      <c r="Q32" s="3"/>
      <c r="R32" s="3"/>
      <c r="AK32"/>
      <c r="AL32"/>
    </row>
    <row r="33" spans="1:38" ht="15.75" hidden="1" thickBot="1" x14ac:dyDescent="0.3">
      <c r="B33" s="76">
        <v>8</v>
      </c>
      <c r="C33" s="78">
        <v>30</v>
      </c>
      <c r="D33" s="78">
        <v>40</v>
      </c>
      <c r="E33" s="79">
        <v>0.1</v>
      </c>
      <c r="H33" s="79"/>
      <c r="Q33" s="3"/>
      <c r="R33" s="3"/>
      <c r="AK33"/>
      <c r="AL33"/>
    </row>
    <row r="34" spans="1:38" ht="15.75" hidden="1" thickBot="1" x14ac:dyDescent="0.3">
      <c r="B34" s="76" t="s">
        <v>38</v>
      </c>
      <c r="C34" s="78">
        <v>0</v>
      </c>
      <c r="D34" s="78">
        <v>0</v>
      </c>
      <c r="E34" s="79">
        <v>0</v>
      </c>
      <c r="G34"/>
    </row>
    <row r="35" spans="1:38" hidden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3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3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3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3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3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3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3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3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3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3" customFormat="1" x14ac:dyDescent="0.25"/>
    <row r="56" spans="1:18" s="3" customFormat="1" x14ac:dyDescent="0.25"/>
    <row r="57" spans="1:18" s="3" customFormat="1" x14ac:dyDescent="0.25"/>
    <row r="58" spans="1:18" s="3" customFormat="1" x14ac:dyDescent="0.25"/>
    <row r="59" spans="1:18" s="3" customFormat="1" x14ac:dyDescent="0.25"/>
    <row r="60" spans="1:18" s="3" customFormat="1" x14ac:dyDescent="0.25"/>
    <row r="61" spans="1:18" s="3" customFormat="1" x14ac:dyDescent="0.25"/>
    <row r="62" spans="1:18" s="3" customFormat="1" x14ac:dyDescent="0.25"/>
    <row r="63" spans="1:18" s="3" customFormat="1" x14ac:dyDescent="0.25"/>
    <row r="64" spans="1:1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</sheetData>
  <sheetProtection algorithmName="SHA-512" hashValue="7Q0lH6Qcx/qMzf+7IZJ7FKo3iLFKVSXK/sAe7ARiwt2GM3r6zrHg2ELJWJoGwAQ16OQgADfKq5CrjP/bUzQzdQ==" saltValue="XaLv1pbPnuVg8rRSPR3jsg==" spinCount="100000" sheet="1" objects="1" scenarios="1"/>
  <mergeCells count="4">
    <mergeCell ref="A13:F13"/>
    <mergeCell ref="K13:Q13"/>
    <mergeCell ref="A15:E15"/>
    <mergeCell ref="K15:P15"/>
  </mergeCells>
  <dataValidations count="2">
    <dataValidation type="list" allowBlank="1" showInputMessage="1" showErrorMessage="1" sqref="F3:F4" xr:uid="{228A1F39-A955-4AC8-870B-789D523FDB7B}">
      <formula1>$G$25:$G$32</formula1>
    </dataValidation>
    <dataValidation type="list" allowBlank="1" showInputMessage="1" showErrorMessage="1" sqref="D3:E4 K3:M4" xr:uid="{AFE25AB0-CF83-490D-A285-9752D4654D8F}">
      <formula1>$V$3:$V$4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1F70-57FD-42E2-8843-5B6A1E8223A1}">
  <sheetPr>
    <pageSetUpPr fitToPage="1"/>
  </sheetPr>
  <dimension ref="A1:L31"/>
  <sheetViews>
    <sheetView workbookViewId="0">
      <selection activeCell="J14" sqref="J14"/>
    </sheetView>
  </sheetViews>
  <sheetFormatPr defaultRowHeight="15" x14ac:dyDescent="0.25"/>
  <cols>
    <col min="2" max="2" width="12.5703125" customWidth="1"/>
    <col min="12" max="12" width="43.42578125" customWidth="1"/>
  </cols>
  <sheetData>
    <row r="1" spans="1:12" ht="87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8" t="s">
        <v>55</v>
      </c>
    </row>
    <row r="2" spans="1:12" ht="15.75" customHeight="1" thickBot="1" x14ac:dyDescent="0.3">
      <c r="A2" s="1"/>
      <c r="B2" s="115" t="s">
        <v>61</v>
      </c>
      <c r="C2" s="116"/>
      <c r="D2" s="116"/>
      <c r="E2" s="116"/>
      <c r="F2" s="116"/>
      <c r="G2" s="116"/>
      <c r="H2" s="116"/>
      <c r="I2" s="116"/>
      <c r="J2" s="117"/>
      <c r="K2" s="1"/>
      <c r="L2" s="118"/>
    </row>
    <row r="3" spans="1:12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8"/>
    </row>
    <row r="4" spans="1:12" ht="15" customHeight="1" x14ac:dyDescent="0.25">
      <c r="A4" s="1"/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"/>
      <c r="L4" s="118"/>
    </row>
    <row r="5" spans="1:12" ht="15" customHeight="1" x14ac:dyDescent="0.25">
      <c r="A5" s="119" t="s">
        <v>57</v>
      </c>
      <c r="B5" s="96" t="s">
        <v>48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1"/>
      <c r="L5" s="118"/>
    </row>
    <row r="6" spans="1:12" ht="15" customHeight="1" x14ac:dyDescent="0.25">
      <c r="A6" s="119"/>
      <c r="B6" s="7">
        <v>1</v>
      </c>
      <c r="C6" s="93">
        <v>5.94</v>
      </c>
      <c r="D6" s="93">
        <v>5.72</v>
      </c>
      <c r="E6" s="93">
        <v>5.39</v>
      </c>
      <c r="F6" s="93">
        <v>5.17</v>
      </c>
      <c r="G6" s="93">
        <v>4.7300000000000004</v>
      </c>
      <c r="H6" s="93">
        <v>4.29</v>
      </c>
      <c r="I6" s="93">
        <v>4.01</v>
      </c>
      <c r="J6" s="93">
        <v>0.86</v>
      </c>
      <c r="K6" s="1"/>
      <c r="L6" s="118"/>
    </row>
    <row r="7" spans="1:12" ht="15" customHeight="1" x14ac:dyDescent="0.25">
      <c r="A7" s="119"/>
      <c r="B7" s="7">
        <v>2</v>
      </c>
      <c r="C7" s="93">
        <v>6.41</v>
      </c>
      <c r="D7" s="93">
        <v>6.18</v>
      </c>
      <c r="E7" s="93">
        <v>5.82</v>
      </c>
      <c r="F7" s="93">
        <v>5.58</v>
      </c>
      <c r="G7" s="93">
        <v>5.0999999999999996</v>
      </c>
      <c r="H7" s="93">
        <v>4.63</v>
      </c>
      <c r="I7" s="93">
        <v>4.33</v>
      </c>
      <c r="J7" s="93">
        <v>0.93</v>
      </c>
      <c r="K7" s="1"/>
      <c r="L7" s="118"/>
    </row>
    <row r="8" spans="1:12" ht="15" customHeight="1" x14ac:dyDescent="0.25">
      <c r="A8" s="119"/>
      <c r="B8" s="7">
        <v>3</v>
      </c>
      <c r="C8" s="93">
        <v>7.29</v>
      </c>
      <c r="D8" s="93">
        <v>7.03</v>
      </c>
      <c r="E8" s="93">
        <v>6.61</v>
      </c>
      <c r="F8" s="93">
        <v>6.34</v>
      </c>
      <c r="G8" s="93">
        <v>5.8</v>
      </c>
      <c r="H8" s="93">
        <v>5.26</v>
      </c>
      <c r="I8" s="93">
        <v>4.92</v>
      </c>
      <c r="J8" s="93">
        <v>1.06</v>
      </c>
      <c r="K8" s="1"/>
      <c r="L8" s="118"/>
    </row>
    <row r="9" spans="1:12" ht="15" customHeight="1" x14ac:dyDescent="0.25">
      <c r="A9" s="119"/>
      <c r="B9" s="7">
        <v>4</v>
      </c>
      <c r="C9" s="93">
        <v>8.02</v>
      </c>
      <c r="D9" s="93">
        <v>7.72</v>
      </c>
      <c r="E9" s="93">
        <v>7.27</v>
      </c>
      <c r="F9" s="93">
        <v>6.98</v>
      </c>
      <c r="G9" s="93">
        <v>6.38</v>
      </c>
      <c r="H9" s="93">
        <v>5.79</v>
      </c>
      <c r="I9" s="93">
        <v>5.41</v>
      </c>
      <c r="J9" s="93">
        <v>1.1599999999999999</v>
      </c>
      <c r="K9" s="1"/>
      <c r="L9" s="118"/>
    </row>
    <row r="10" spans="1:12" ht="15" customHeight="1" x14ac:dyDescent="0.25">
      <c r="A10" s="119"/>
      <c r="B10" s="7">
        <v>5</v>
      </c>
      <c r="C10" s="93">
        <v>10.02</v>
      </c>
      <c r="D10" s="93">
        <v>9.65</v>
      </c>
      <c r="E10" s="93">
        <v>9.09</v>
      </c>
      <c r="F10" s="93">
        <v>8.7200000000000006</v>
      </c>
      <c r="G10" s="93">
        <v>7.98</v>
      </c>
      <c r="H10" s="93">
        <v>7.23</v>
      </c>
      <c r="I10" s="93">
        <v>6.76</v>
      </c>
      <c r="J10" s="93">
        <v>1.45</v>
      </c>
      <c r="K10" s="1"/>
      <c r="L10" s="118"/>
    </row>
    <row r="11" spans="1:12" ht="15" customHeight="1" x14ac:dyDescent="0.25">
      <c r="A11" s="119"/>
      <c r="B11" s="7">
        <v>6</v>
      </c>
      <c r="C11" s="93">
        <v>13.36</v>
      </c>
      <c r="D11" s="93">
        <v>12.87</v>
      </c>
      <c r="E11" s="93">
        <v>12.12</v>
      </c>
      <c r="F11" s="93">
        <v>11.63</v>
      </c>
      <c r="G11" s="93">
        <v>10.63</v>
      </c>
      <c r="H11" s="93">
        <v>9.64</v>
      </c>
      <c r="I11" s="93">
        <v>9.01</v>
      </c>
      <c r="J11" s="93">
        <v>1.94</v>
      </c>
      <c r="K11" s="1"/>
      <c r="L11" s="118"/>
    </row>
    <row r="12" spans="1:12" ht="15" customHeight="1" x14ac:dyDescent="0.25">
      <c r="A12" s="119"/>
      <c r="B12" s="7">
        <v>7</v>
      </c>
      <c r="C12" s="93">
        <v>16.04</v>
      </c>
      <c r="D12" s="93">
        <v>15.44</v>
      </c>
      <c r="E12" s="93">
        <v>14.54</v>
      </c>
      <c r="F12" s="93">
        <v>13.95</v>
      </c>
      <c r="G12" s="93">
        <v>12.76</v>
      </c>
      <c r="H12" s="93">
        <v>11.57</v>
      </c>
      <c r="I12" s="93">
        <v>10.82</v>
      </c>
      <c r="J12" s="93">
        <v>2.3199999999999998</v>
      </c>
      <c r="K12" s="1"/>
      <c r="L12" s="118"/>
    </row>
    <row r="13" spans="1:12" ht="15" customHeight="1" x14ac:dyDescent="0.25">
      <c r="A13" s="119"/>
      <c r="B13" s="7">
        <v>8</v>
      </c>
      <c r="C13" s="93">
        <v>80.17</v>
      </c>
      <c r="D13" s="93">
        <v>77.2</v>
      </c>
      <c r="E13" s="93">
        <v>72.739999999999995</v>
      </c>
      <c r="F13" s="93">
        <v>69.760000000000005</v>
      </c>
      <c r="G13" s="93">
        <v>63.8</v>
      </c>
      <c r="H13" s="93">
        <v>57.86</v>
      </c>
      <c r="I13" s="93">
        <v>54.08</v>
      </c>
      <c r="J13" s="93">
        <v>11.62</v>
      </c>
      <c r="K13" s="1"/>
      <c r="L13" s="118"/>
    </row>
    <row r="14" spans="1:12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18"/>
    </row>
    <row r="15" spans="1:12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18"/>
    </row>
    <row r="16" spans="1:12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18"/>
    </row>
    <row r="17" spans="1:12" ht="1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18"/>
    </row>
    <row r="18" spans="1:12" ht="15" customHeight="1" x14ac:dyDescent="0.25">
      <c r="L18" s="97"/>
    </row>
    <row r="19" spans="1:12" ht="15" customHeight="1" x14ac:dyDescent="0.25">
      <c r="L19" s="97"/>
    </row>
    <row r="20" spans="1:12" ht="15" customHeight="1" x14ac:dyDescent="0.25">
      <c r="L20" s="97"/>
    </row>
    <row r="21" spans="1:12" ht="15" customHeight="1" x14ac:dyDescent="0.25">
      <c r="L21" s="97"/>
    </row>
    <row r="22" spans="1:12" ht="15" customHeight="1" x14ac:dyDescent="0.25">
      <c r="L22" s="97"/>
    </row>
    <row r="23" spans="1:12" ht="15" customHeight="1" x14ac:dyDescent="0.25">
      <c r="L23" s="97"/>
    </row>
    <row r="24" spans="1:12" ht="15" customHeight="1" x14ac:dyDescent="0.25">
      <c r="L24" s="97"/>
    </row>
    <row r="25" spans="1:12" ht="15" customHeight="1" x14ac:dyDescent="0.25">
      <c r="L25" s="97"/>
    </row>
    <row r="26" spans="1:12" ht="15" customHeight="1" x14ac:dyDescent="0.25">
      <c r="L26" s="97"/>
    </row>
    <row r="27" spans="1:12" ht="15" customHeight="1" x14ac:dyDescent="0.25">
      <c r="L27" s="97"/>
    </row>
    <row r="28" spans="1:12" x14ac:dyDescent="0.25">
      <c r="L28" s="1"/>
    </row>
    <row r="29" spans="1:12" x14ac:dyDescent="0.25">
      <c r="L29" s="1"/>
    </row>
    <row r="30" spans="1:12" x14ac:dyDescent="0.25">
      <c r="L30" s="1"/>
    </row>
    <row r="31" spans="1:12" x14ac:dyDescent="0.25">
      <c r="L31" s="92"/>
    </row>
  </sheetData>
  <sheetProtection algorithmName="SHA-512" hashValue="WIO/QjOjOf7KqlHRxOinEWg7r1CFJlcn/seg3IFk0PGERFPyDEkEFmwSxt8A+RAQRRGu6pyHSPjG2ikffFI7kw==" saltValue="u1glQX884ITThfuO1DmEAw==" spinCount="100000" sheet="1" objects="1" scenarios="1"/>
  <mergeCells count="4">
    <mergeCell ref="B2:J2"/>
    <mergeCell ref="A5:A13"/>
    <mergeCell ref="B4:J4"/>
    <mergeCell ref="L1:L17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5753-AD5E-4123-889A-679E7087B185}">
  <dimension ref="A1:AP344"/>
  <sheetViews>
    <sheetView zoomScale="70" zoomScaleNormal="70" workbookViewId="0">
      <selection activeCell="D4" sqref="D4"/>
    </sheetView>
  </sheetViews>
  <sheetFormatPr defaultRowHeight="15" x14ac:dyDescent="0.25"/>
  <cols>
    <col min="1" max="1" width="30.42578125" customWidth="1"/>
    <col min="2" max="2" width="15.42578125" customWidth="1"/>
    <col min="3" max="3" width="15.5703125" customWidth="1"/>
    <col min="4" max="4" width="16.42578125" customWidth="1"/>
    <col min="5" max="6" width="16.5703125" customWidth="1"/>
    <col min="7" max="7" width="17.5703125" style="24" customWidth="1"/>
    <col min="8" max="10" width="30.5703125" hidden="1" customWidth="1"/>
    <col min="11" max="11" width="27" customWidth="1"/>
    <col min="12" max="12" width="22.5703125" hidden="1" customWidth="1"/>
    <col min="13" max="13" width="16.5703125" customWidth="1"/>
    <col min="14" max="14" width="18.42578125" customWidth="1"/>
    <col min="15" max="18" width="16.5703125" customWidth="1"/>
    <col min="19" max="19" width="9.42578125" style="3"/>
    <col min="20" max="20" width="9.42578125" style="3" hidden="1" customWidth="1"/>
    <col min="21" max="23" width="0" style="3" hidden="1" customWidth="1"/>
    <col min="24" max="38" width="9.42578125" style="3"/>
  </cols>
  <sheetData>
    <row r="1" spans="1:42" ht="111" customHeight="1" x14ac:dyDescent="0.25">
      <c r="A1" s="1"/>
      <c r="B1" s="1"/>
      <c r="C1" s="1"/>
      <c r="D1" s="2" t="s">
        <v>58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4"/>
    </row>
    <row r="2" spans="1:42" s="6" customFormat="1" ht="63" customHeight="1" x14ac:dyDescent="0.2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42</v>
      </c>
      <c r="I2" s="4" t="s">
        <v>43</v>
      </c>
      <c r="J2" s="4" t="s">
        <v>40</v>
      </c>
      <c r="K2" s="4" t="s">
        <v>7</v>
      </c>
      <c r="L2" s="4" t="s">
        <v>41</v>
      </c>
      <c r="M2" s="4" t="s">
        <v>54</v>
      </c>
      <c r="N2" s="4" t="s">
        <v>39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2" s="18" customFormat="1" ht="34.5" customHeight="1" x14ac:dyDescent="0.25">
      <c r="A3" s="7" t="s">
        <v>15</v>
      </c>
      <c r="B3" s="8">
        <v>0</v>
      </c>
      <c r="C3" s="9">
        <v>0</v>
      </c>
      <c r="D3" s="9" t="s">
        <v>16</v>
      </c>
      <c r="E3" s="9" t="s">
        <v>16</v>
      </c>
      <c r="F3" s="10">
        <v>8</v>
      </c>
      <c r="G3" s="11">
        <f>VLOOKUP(F3,G25:H32,2)</f>
        <v>0.1</v>
      </c>
      <c r="H3" s="82" t="str">
        <f>IF(B3&gt;50%,"YES","NO")</f>
        <v>NO</v>
      </c>
      <c r="I3" s="11" t="str">
        <f>IF(D3="YES","YES",IF(E3="YES","YES",IF(D3="NO","NO",IF(E3="NO","NO"))))</f>
        <v>NO</v>
      </c>
      <c r="J3" s="11" t="str">
        <f>IF(H3="NO","NO",IF(I3="NO","NO",IF(I3="YES","YES",IF(H3="YES","YES"))))</f>
        <v>NO</v>
      </c>
      <c r="K3" s="10" t="s">
        <v>16</v>
      </c>
      <c r="L3" s="83" t="str">
        <f>IF(J3="NO","NO",IF(K3="NO","NO",IF(J3="YES","YES",IF(K3="YES","YES"))))</f>
        <v>NO</v>
      </c>
      <c r="M3" s="10" t="s">
        <v>16</v>
      </c>
      <c r="N3" s="12">
        <f>(IF(L3="YES",1.2,1)*IF(M3="YES",1.2,1))*G3</f>
        <v>0.1</v>
      </c>
      <c r="O3" s="13">
        <v>20000</v>
      </c>
      <c r="P3" s="14">
        <f>N3*O3</f>
        <v>2000</v>
      </c>
      <c r="Q3" s="13">
        <v>100000</v>
      </c>
      <c r="R3" s="11">
        <f>P3/Q3</f>
        <v>0.02</v>
      </c>
      <c r="S3" s="15">
        <f>G13</f>
        <v>0.15</v>
      </c>
      <c r="T3" s="16"/>
      <c r="U3" s="17"/>
      <c r="V3" s="17" t="s">
        <v>17</v>
      </c>
      <c r="W3" s="17">
        <v>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2" s="18" customFormat="1" ht="34.5" customHeight="1" x14ac:dyDescent="0.25">
      <c r="A4" s="7" t="s">
        <v>18</v>
      </c>
      <c r="B4" s="8">
        <v>0.51</v>
      </c>
      <c r="C4" s="9">
        <v>0.35</v>
      </c>
      <c r="D4" s="9" t="s">
        <v>16</v>
      </c>
      <c r="E4" s="9" t="s">
        <v>16</v>
      </c>
      <c r="F4" s="10">
        <v>8</v>
      </c>
      <c r="G4" s="11">
        <f>VLOOKUP(F4,G25:H32,2)</f>
        <v>0.1</v>
      </c>
      <c r="H4" s="82" t="str">
        <f>IF(B4&gt;50%,"YES","NO")</f>
        <v>YES</v>
      </c>
      <c r="I4" s="11" t="str">
        <f>IF(D4="YES","YES",IF(E4="YES","YES",IF(D4="NO","NO",IF(E4="NO","NO"))))</f>
        <v>NO</v>
      </c>
      <c r="J4" s="11" t="str">
        <f>IF(H4="NO","NO",IF(I4="NO","NO",IF(I4="YES","YES",IF(H4="YES","YES"))))</f>
        <v>NO</v>
      </c>
      <c r="K4" s="10" t="s">
        <v>17</v>
      </c>
      <c r="L4" s="83" t="str">
        <f>IF(J4="NO","NO",IF(K4="NO","NO",IF(J4="YES","YES",IF(K4="YES","YES"))))</f>
        <v>NO</v>
      </c>
      <c r="M4" s="10" t="s">
        <v>17</v>
      </c>
      <c r="N4" s="12">
        <f>(IF(L4="YES",1.2,1)*IF(M4="YES",1.2,1))*G4</f>
        <v>0.12</v>
      </c>
      <c r="O4" s="13">
        <v>20000</v>
      </c>
      <c r="P4" s="14">
        <f>N4*O4</f>
        <v>2400</v>
      </c>
      <c r="Q4" s="13">
        <v>100000</v>
      </c>
      <c r="R4" s="11">
        <f>P4/Q4</f>
        <v>2.4E-2</v>
      </c>
      <c r="S4" s="19">
        <f>R13</f>
        <v>1.26</v>
      </c>
      <c r="T4" s="20">
        <f>S4/S3</f>
        <v>8.4</v>
      </c>
      <c r="U4" s="17"/>
      <c r="V4" s="17" t="s">
        <v>16</v>
      </c>
      <c r="W4" s="17">
        <v>2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2" s="24" customFormat="1" x14ac:dyDescent="0.25">
      <c r="A5" s="21"/>
      <c r="B5" s="22"/>
      <c r="C5" s="23"/>
      <c r="E5" s="25"/>
      <c r="F5" s="26"/>
      <c r="G5" s="26"/>
      <c r="H5" s="26"/>
      <c r="I5" s="26"/>
      <c r="J5" s="26"/>
      <c r="K5" s="23"/>
      <c r="L5" s="27"/>
      <c r="M5" s="27"/>
      <c r="T5" s="3"/>
      <c r="U5" s="28">
        <v>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2" s="24" customFormat="1" x14ac:dyDescent="0.25">
      <c r="A6" s="21"/>
      <c r="B6" s="22"/>
      <c r="C6" s="23"/>
      <c r="D6" s="29"/>
      <c r="E6" s="30"/>
      <c r="F6" s="26"/>
      <c r="G6" s="26"/>
      <c r="H6" s="26"/>
      <c r="I6" s="26"/>
      <c r="J6" s="26"/>
      <c r="K6" s="23"/>
      <c r="L6" s="27"/>
      <c r="M6" s="27"/>
      <c r="U6" s="29">
        <v>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2" s="24" customFormat="1" ht="36.75" customHeight="1" x14ac:dyDescent="0.25">
      <c r="A7" s="31"/>
      <c r="B7" s="32" t="s">
        <v>13</v>
      </c>
      <c r="C7" s="32" t="s">
        <v>14</v>
      </c>
      <c r="D7" s="33"/>
      <c r="E7" s="34"/>
      <c r="F7" s="35"/>
      <c r="G7" s="35"/>
      <c r="H7" s="36"/>
      <c r="I7" s="36"/>
      <c r="J7" s="36"/>
      <c r="K7" s="36"/>
      <c r="L7" s="37"/>
      <c r="M7" s="37"/>
      <c r="N7" s="1"/>
      <c r="O7" s="1"/>
      <c r="P7" s="1"/>
      <c r="Q7" s="1"/>
      <c r="R7" s="1"/>
      <c r="U7" s="29">
        <v>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2" s="24" customFormat="1" ht="34.5" customHeight="1" x14ac:dyDescent="0.7">
      <c r="A8" s="38" t="s">
        <v>19</v>
      </c>
      <c r="B8" s="39">
        <f>G13</f>
        <v>0.15</v>
      </c>
      <c r="C8" s="40"/>
      <c r="D8" s="33"/>
      <c r="E8" s="34"/>
      <c r="F8" s="41"/>
      <c r="G8" s="35"/>
      <c r="H8" s="35"/>
      <c r="I8" s="35"/>
      <c r="J8" s="35"/>
      <c r="K8" s="36"/>
      <c r="L8" s="37"/>
      <c r="M8" s="37"/>
      <c r="N8" s="1"/>
      <c r="O8" s="1"/>
      <c r="P8" s="1"/>
      <c r="Q8" s="1"/>
      <c r="R8" s="1"/>
      <c r="U8" s="29">
        <v>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2" s="24" customFormat="1" ht="34.5" customHeight="1" x14ac:dyDescent="0.25">
      <c r="A9" s="38" t="s">
        <v>20</v>
      </c>
      <c r="B9" s="42">
        <f>R13</f>
        <v>1.26</v>
      </c>
      <c r="C9" s="20">
        <f>B9/B8</f>
        <v>8.4</v>
      </c>
      <c r="D9" s="33"/>
      <c r="E9" s="34"/>
      <c r="F9" s="35"/>
      <c r="G9" s="35"/>
      <c r="H9" s="35"/>
      <c r="I9" s="35"/>
      <c r="J9" s="35"/>
      <c r="K9" s="36"/>
      <c r="L9" s="37"/>
      <c r="M9" s="37"/>
      <c r="N9" s="1"/>
      <c r="O9" s="1"/>
      <c r="P9" s="1"/>
      <c r="Q9" s="1"/>
      <c r="R9" s="1"/>
      <c r="U9" s="29">
        <v>7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2" s="24" customFormat="1" ht="18.75" x14ac:dyDescent="0.3">
      <c r="A10" s="43"/>
      <c r="B10" s="44"/>
      <c r="C10" s="36"/>
      <c r="D10" s="33"/>
      <c r="E10" s="34"/>
      <c r="F10" s="35"/>
      <c r="G10" s="35"/>
      <c r="H10" s="35"/>
      <c r="I10" s="35"/>
      <c r="J10" s="35"/>
      <c r="K10" s="36"/>
      <c r="L10" s="37"/>
      <c r="M10" s="37"/>
      <c r="N10" s="1"/>
      <c r="O10" s="1"/>
      <c r="P10" s="1"/>
      <c r="Q10" s="1"/>
      <c r="R10" s="1"/>
      <c r="U10" s="29">
        <v>8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42" s="24" customFormat="1" x14ac:dyDescent="0.25">
      <c r="A11" s="45"/>
      <c r="B11" s="44"/>
      <c r="C11" s="36"/>
      <c r="D11" s="33"/>
      <c r="E11" s="34"/>
      <c r="F11" s="35"/>
      <c r="G11" s="35"/>
      <c r="H11" s="35"/>
      <c r="I11" s="35"/>
      <c r="J11" s="35"/>
      <c r="K11" s="36"/>
      <c r="L11" s="37"/>
      <c r="M11" s="37"/>
      <c r="N11" s="1"/>
      <c r="O11" s="1"/>
      <c r="P11" s="1"/>
      <c r="Q11" s="1"/>
      <c r="R11" s="1"/>
      <c r="U11" s="2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42" ht="15.75" thickBot="1" x14ac:dyDescent="0.3">
      <c r="A12" s="1"/>
      <c r="B12" s="1"/>
      <c r="C12" s="1"/>
      <c r="D12" s="1"/>
      <c r="E12" s="1"/>
      <c r="F12" s="1"/>
      <c r="G12" s="4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4"/>
      <c r="T12" s="24"/>
      <c r="U12" s="24"/>
      <c r="V12" s="24"/>
    </row>
    <row r="13" spans="1:42" ht="35.25" customHeight="1" thickBot="1" x14ac:dyDescent="0.3">
      <c r="A13" s="110" t="s">
        <v>21</v>
      </c>
      <c r="B13" s="111"/>
      <c r="C13" s="111"/>
      <c r="D13" s="111"/>
      <c r="E13" s="111"/>
      <c r="F13" s="111"/>
      <c r="G13" s="47">
        <f>E16</f>
        <v>0.15</v>
      </c>
      <c r="I13" s="84"/>
      <c r="J13" s="84"/>
      <c r="K13" s="110" t="s">
        <v>22</v>
      </c>
      <c r="L13" s="111"/>
      <c r="M13" s="111"/>
      <c r="N13" s="111"/>
      <c r="O13" s="111"/>
      <c r="P13" s="111"/>
      <c r="Q13" s="122"/>
      <c r="R13" s="47">
        <f>P16</f>
        <v>1.26</v>
      </c>
      <c r="S13" s="24"/>
      <c r="T13" s="24"/>
      <c r="U13" s="24"/>
      <c r="V13" s="24"/>
    </row>
    <row r="14" spans="1:42" x14ac:dyDescent="0.25">
      <c r="A14" s="48"/>
      <c r="B14" s="1"/>
      <c r="C14" s="1"/>
      <c r="D14" s="1"/>
      <c r="E14" s="1"/>
      <c r="F14" s="46"/>
      <c r="G14" s="4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4"/>
      <c r="T14" s="24"/>
      <c r="U14" s="24"/>
      <c r="V14" s="24"/>
    </row>
    <row r="15" spans="1:42" ht="50.25" customHeight="1" x14ac:dyDescent="0.25">
      <c r="A15" s="112" t="s">
        <v>59</v>
      </c>
      <c r="B15" s="113"/>
      <c r="C15" s="113"/>
      <c r="D15" s="113"/>
      <c r="E15" s="114"/>
      <c r="F15" s="32" t="s">
        <v>44</v>
      </c>
      <c r="G15" s="50"/>
      <c r="H15" s="80"/>
      <c r="I15" s="80"/>
      <c r="J15" s="80"/>
      <c r="K15" s="112" t="s">
        <v>59</v>
      </c>
      <c r="L15" s="113"/>
      <c r="M15" s="113"/>
      <c r="N15" s="113"/>
      <c r="O15" s="113"/>
      <c r="P15" s="114"/>
      <c r="Q15" s="32" t="s">
        <v>24</v>
      </c>
      <c r="R15" s="85"/>
      <c r="S15" s="24"/>
      <c r="T15" s="1"/>
      <c r="U15" s="1"/>
      <c r="V15" s="1"/>
      <c r="AM15" s="3"/>
      <c r="AN15" s="3"/>
      <c r="AO15" s="3"/>
      <c r="AP15" s="3"/>
    </row>
    <row r="16" spans="1:42" ht="60" x14ac:dyDescent="0.25">
      <c r="A16" s="51" t="s">
        <v>25</v>
      </c>
      <c r="B16" s="7">
        <v>18</v>
      </c>
      <c r="C16" s="7"/>
      <c r="D16" s="7"/>
      <c r="E16" s="52">
        <f>SUM(E18:E22)</f>
        <v>0.15</v>
      </c>
      <c r="F16" s="53" t="str">
        <f>IF((E16/B16)&lt;40%,"You do not comply to the 40% sub minimum",E16/B16)</f>
        <v>You do not comply to the 40% sub minimum</v>
      </c>
      <c r="G16" s="50"/>
      <c r="H16" s="80"/>
      <c r="I16" s="80"/>
      <c r="J16" s="80"/>
      <c r="K16" s="54" t="s">
        <v>25</v>
      </c>
      <c r="L16" s="54"/>
      <c r="M16" s="7">
        <v>18</v>
      </c>
      <c r="N16" s="7"/>
      <c r="O16" s="7"/>
      <c r="P16" s="52">
        <f>SUM(P17:P22)</f>
        <v>1.26</v>
      </c>
      <c r="Q16" s="53" t="str">
        <f>IF((P16/M16)&lt;40%,"You do not comply to the 40% sub minimum",P16/M16)</f>
        <v>You do not comply to the 40% sub minimum</v>
      </c>
      <c r="R16" s="1"/>
      <c r="S16" s="1"/>
      <c r="T16" s="1"/>
      <c r="AM16" s="3"/>
      <c r="AN16" s="3"/>
    </row>
    <row r="17" spans="1:40" ht="29.25" customHeight="1" x14ac:dyDescent="0.25">
      <c r="A17" s="55"/>
      <c r="B17" s="32" t="s">
        <v>26</v>
      </c>
      <c r="C17" s="32" t="s">
        <v>27</v>
      </c>
      <c r="D17" s="32" t="s">
        <v>12</v>
      </c>
      <c r="E17" s="91" t="s">
        <v>28</v>
      </c>
      <c r="F17" s="89"/>
      <c r="G17" s="50"/>
      <c r="H17" s="80"/>
      <c r="I17" s="80"/>
      <c r="J17" s="80"/>
      <c r="K17" s="56"/>
      <c r="L17" s="56"/>
      <c r="M17" s="32" t="s">
        <v>26</v>
      </c>
      <c r="N17" s="32" t="s">
        <v>27</v>
      </c>
      <c r="O17" s="32" t="s">
        <v>12</v>
      </c>
      <c r="P17" s="91" t="s">
        <v>28</v>
      </c>
      <c r="Q17" s="89"/>
      <c r="R17" s="1"/>
      <c r="S17" s="1"/>
      <c r="T17" s="1"/>
      <c r="AM17" s="3"/>
      <c r="AN17" s="3"/>
    </row>
    <row r="18" spans="1:40" s="65" customFormat="1" ht="117" customHeight="1" x14ac:dyDescent="0.25">
      <c r="A18" s="57" t="s">
        <v>29</v>
      </c>
      <c r="B18" s="58">
        <v>6</v>
      </c>
      <c r="C18" s="59">
        <v>0.8</v>
      </c>
      <c r="D18" s="11">
        <f>R3</f>
        <v>0.02</v>
      </c>
      <c r="E18" s="90">
        <f>IF((D18/C18*B18)&gt;6,6,(D18/C18*B18))</f>
        <v>0.15</v>
      </c>
      <c r="F18" s="86"/>
      <c r="G18" s="61"/>
      <c r="H18" s="81"/>
      <c r="I18" s="81"/>
      <c r="J18" s="81"/>
      <c r="K18" s="62" t="s">
        <v>29</v>
      </c>
      <c r="L18" s="62">
        <v>6</v>
      </c>
      <c r="M18" s="58">
        <v>6</v>
      </c>
      <c r="N18" s="59">
        <v>0.8</v>
      </c>
      <c r="O18" s="11">
        <f>R4</f>
        <v>2.4E-2</v>
      </c>
      <c r="P18" s="90">
        <f>IF((O18/N18*M18)&gt;6,6,(O18/N18*M18))</f>
        <v>0.18</v>
      </c>
      <c r="Q18" s="86"/>
      <c r="R18" s="63"/>
      <c r="S18" s="63"/>
      <c r="T18" s="63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5" customFormat="1" ht="114.75" customHeight="1" x14ac:dyDescent="0.25">
      <c r="A19" s="57" t="s">
        <v>30</v>
      </c>
      <c r="B19" s="58">
        <v>3</v>
      </c>
      <c r="C19" s="59">
        <v>0.2</v>
      </c>
      <c r="D19" s="11">
        <f>IF(E3="yes",R3,0)</f>
        <v>0</v>
      </c>
      <c r="E19" s="60">
        <f>IF((D19/C19*B19)&gt;3,3,(D19/C19*B19))</f>
        <v>0</v>
      </c>
      <c r="F19" s="87"/>
      <c r="G19" s="61"/>
      <c r="H19" s="81"/>
      <c r="I19" s="81"/>
      <c r="J19" s="81"/>
      <c r="K19" s="62" t="s">
        <v>30</v>
      </c>
      <c r="L19" s="62">
        <v>3</v>
      </c>
      <c r="M19" s="58">
        <v>3</v>
      </c>
      <c r="N19" s="59">
        <v>0.2</v>
      </c>
      <c r="O19" s="11">
        <f>IF(E4="yes",R4,0)</f>
        <v>0</v>
      </c>
      <c r="P19" s="60">
        <f>IF((O19/N19*M19)&gt;3,3,(O19/N19*M19))</f>
        <v>0</v>
      </c>
      <c r="Q19" s="87"/>
      <c r="R19" s="63"/>
      <c r="S19" s="63"/>
      <c r="T19" s="6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5" customFormat="1" ht="124.5" customHeight="1" x14ac:dyDescent="0.25">
      <c r="A20" s="57" t="s">
        <v>31</v>
      </c>
      <c r="B20" s="58">
        <v>2</v>
      </c>
      <c r="C20" s="59">
        <v>0.1</v>
      </c>
      <c r="D20" s="11">
        <f>IF(D3="yes",R3,0)</f>
        <v>0</v>
      </c>
      <c r="E20" s="60">
        <f>IF((D20/C20*B20)&gt;2,2,(D20/C20*B20))</f>
        <v>0</v>
      </c>
      <c r="F20" s="87"/>
      <c r="G20" s="61"/>
      <c r="H20" s="81"/>
      <c r="I20" s="81"/>
      <c r="J20" s="81"/>
      <c r="K20" s="62" t="s">
        <v>31</v>
      </c>
      <c r="L20" s="62">
        <v>3</v>
      </c>
      <c r="M20" s="58">
        <v>2</v>
      </c>
      <c r="N20" s="59">
        <v>0.1</v>
      </c>
      <c r="O20" s="11">
        <f>IF(D4="yes",R4,0)</f>
        <v>0</v>
      </c>
      <c r="P20" s="60">
        <f>IF((O20/N20*M20)&gt;2,2,(O20/N20*M20))</f>
        <v>0</v>
      </c>
      <c r="Q20" s="87"/>
      <c r="R20" s="63"/>
      <c r="S20" s="63"/>
      <c r="T20" s="6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5" customFormat="1" ht="146.25" customHeight="1" x14ac:dyDescent="0.25">
      <c r="A21" s="57" t="s">
        <v>32</v>
      </c>
      <c r="B21" s="58">
        <v>4</v>
      </c>
      <c r="C21" s="59">
        <v>0.2</v>
      </c>
      <c r="D21" s="11">
        <f>IF(B3&gt;50%,R3,0)</f>
        <v>0</v>
      </c>
      <c r="E21" s="60">
        <f>IF((D21/C21*B21)&gt;4,4,(D21/C21*B21))</f>
        <v>0</v>
      </c>
      <c r="F21" s="88"/>
      <c r="G21" s="61"/>
      <c r="H21" s="81"/>
      <c r="I21" s="81"/>
      <c r="J21" s="81"/>
      <c r="K21" s="62" t="s">
        <v>32</v>
      </c>
      <c r="L21" s="62">
        <v>4</v>
      </c>
      <c r="M21" s="58">
        <v>4</v>
      </c>
      <c r="N21" s="59">
        <v>0.2</v>
      </c>
      <c r="O21" s="11">
        <f>IF(B4&gt;50%,R4,0)</f>
        <v>2.4E-2</v>
      </c>
      <c r="P21" s="60">
        <f>IF((O21/N21*M21)&gt;4,4,(O21/N21*M21))</f>
        <v>0.48</v>
      </c>
      <c r="Q21" s="88"/>
      <c r="R21" s="63"/>
      <c r="S21" s="63"/>
      <c r="T21" s="6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5" customFormat="1" ht="148.5" customHeight="1" x14ac:dyDescent="0.25">
      <c r="A22" s="57" t="s">
        <v>52</v>
      </c>
      <c r="B22" s="58">
        <v>3</v>
      </c>
      <c r="C22" s="59">
        <v>0.12</v>
      </c>
      <c r="D22" s="11">
        <f>IF(C3&gt;34%,R4,0)</f>
        <v>0</v>
      </c>
      <c r="E22" s="60">
        <f>IF((D22/C22*B22)&gt;3,3,(D22/C22*B22))</f>
        <v>0</v>
      </c>
      <c r="F22" s="87"/>
      <c r="G22" s="61"/>
      <c r="H22" s="81"/>
      <c r="I22" s="81"/>
      <c r="J22" s="81"/>
      <c r="K22" s="62" t="s">
        <v>52</v>
      </c>
      <c r="L22" s="62">
        <v>3</v>
      </c>
      <c r="M22" s="58">
        <v>3</v>
      </c>
      <c r="N22" s="59">
        <v>0.12</v>
      </c>
      <c r="O22" s="11">
        <f>IF(C4&gt;34%,R4,0)</f>
        <v>2.4E-2</v>
      </c>
      <c r="P22" s="60">
        <f>IF((O22/N22*M22)&gt;3,3,(O22/N22*M22))</f>
        <v>0.60000000000000009</v>
      </c>
      <c r="Q22" s="87"/>
      <c r="R22" s="63"/>
      <c r="S22" s="63"/>
      <c r="T22" s="6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thickBot="1" x14ac:dyDescent="0.3">
      <c r="A23" s="66"/>
      <c r="B23" s="67"/>
      <c r="C23" s="67"/>
      <c r="D23" s="67"/>
      <c r="E23" s="67"/>
      <c r="F23" s="67"/>
      <c r="G23" s="68"/>
      <c r="H23" s="67"/>
      <c r="I23" s="67"/>
      <c r="J23" s="67"/>
      <c r="K23" s="67"/>
      <c r="L23" s="67"/>
      <c r="M23" s="69"/>
      <c r="N23" s="1"/>
      <c r="O23" s="1"/>
      <c r="P23" s="1"/>
      <c r="Q23" s="3"/>
      <c r="R23" s="3"/>
      <c r="AK23"/>
      <c r="AL23"/>
    </row>
    <row r="24" spans="1:40" hidden="1" x14ac:dyDescent="0.25">
      <c r="G24" s="70"/>
      <c r="H24" s="71"/>
      <c r="Q24" s="3"/>
      <c r="R24" s="3"/>
      <c r="AK24"/>
      <c r="AL24"/>
    </row>
    <row r="25" spans="1:40" ht="16.5" hidden="1" thickTop="1" thickBot="1" x14ac:dyDescent="0.3">
      <c r="B25" s="72" t="s">
        <v>34</v>
      </c>
      <c r="C25" s="73" t="s">
        <v>35</v>
      </c>
      <c r="D25" s="74" t="s">
        <v>36</v>
      </c>
      <c r="E25" s="75" t="s">
        <v>37</v>
      </c>
      <c r="G25" s="76">
        <v>1</v>
      </c>
      <c r="H25" s="77">
        <v>1.35</v>
      </c>
      <c r="Q25" s="3"/>
      <c r="R25" s="3"/>
      <c r="AK25"/>
      <c r="AL25"/>
    </row>
    <row r="26" spans="1:40" ht="15.75" hidden="1" thickBot="1" x14ac:dyDescent="0.3">
      <c r="B26" s="76">
        <v>1</v>
      </c>
      <c r="C26" s="78">
        <v>100</v>
      </c>
      <c r="D26" s="78">
        <v>100</v>
      </c>
      <c r="E26" s="79">
        <v>1.35</v>
      </c>
      <c r="G26" s="76">
        <v>2</v>
      </c>
      <c r="H26" s="77">
        <v>1.25</v>
      </c>
      <c r="Q26" s="3"/>
      <c r="R26" s="3"/>
      <c r="AK26"/>
      <c r="AL26"/>
    </row>
    <row r="27" spans="1:40" ht="15.75" hidden="1" thickBot="1" x14ac:dyDescent="0.3">
      <c r="B27" s="76">
        <v>2</v>
      </c>
      <c r="C27" s="78">
        <v>85</v>
      </c>
      <c r="D27" s="78">
        <v>95</v>
      </c>
      <c r="E27" s="79">
        <v>1.25</v>
      </c>
      <c r="G27" s="76">
        <v>3</v>
      </c>
      <c r="H27" s="77">
        <v>1.1000000000000001</v>
      </c>
      <c r="Q27" s="3"/>
      <c r="R27" s="3"/>
      <c r="AK27"/>
      <c r="AL27"/>
    </row>
    <row r="28" spans="1:40" ht="15.75" hidden="1" thickBot="1" x14ac:dyDescent="0.3">
      <c r="B28" s="76">
        <v>3</v>
      </c>
      <c r="C28" s="78">
        <v>75</v>
      </c>
      <c r="D28" s="78">
        <v>90</v>
      </c>
      <c r="E28" s="79">
        <v>1.1000000000000001</v>
      </c>
      <c r="G28" s="76">
        <v>4</v>
      </c>
      <c r="H28" s="77">
        <v>1</v>
      </c>
      <c r="Q28" s="3"/>
      <c r="R28" s="3"/>
      <c r="AK28"/>
      <c r="AL28"/>
    </row>
    <row r="29" spans="1:40" ht="15.75" hidden="1" thickBot="1" x14ac:dyDescent="0.3">
      <c r="B29" s="76">
        <v>4</v>
      </c>
      <c r="C29" s="78">
        <v>65</v>
      </c>
      <c r="D29" s="78">
        <v>80</v>
      </c>
      <c r="E29" s="79">
        <v>1</v>
      </c>
      <c r="G29" s="76">
        <v>5</v>
      </c>
      <c r="H29" s="77">
        <v>0.8</v>
      </c>
      <c r="Q29" s="3"/>
      <c r="R29" s="3"/>
      <c r="AK29"/>
      <c r="AL29"/>
    </row>
    <row r="30" spans="1:40" ht="15.75" hidden="1" thickBot="1" x14ac:dyDescent="0.3">
      <c r="B30" s="76">
        <v>5</v>
      </c>
      <c r="C30" s="78">
        <v>55</v>
      </c>
      <c r="D30" s="78">
        <v>75</v>
      </c>
      <c r="E30" s="79">
        <v>0.8</v>
      </c>
      <c r="G30" s="76">
        <v>6</v>
      </c>
      <c r="H30" s="77">
        <v>0.6</v>
      </c>
      <c r="Q30" s="3"/>
      <c r="R30" s="3"/>
      <c r="AK30"/>
      <c r="AL30"/>
    </row>
    <row r="31" spans="1:40" ht="15.75" hidden="1" thickBot="1" x14ac:dyDescent="0.3">
      <c r="B31" s="76">
        <v>6</v>
      </c>
      <c r="C31" s="78">
        <v>45</v>
      </c>
      <c r="D31" s="78">
        <v>70</v>
      </c>
      <c r="E31" s="79">
        <v>0.6</v>
      </c>
      <c r="G31" s="76">
        <v>7</v>
      </c>
      <c r="H31" s="77">
        <v>0.5</v>
      </c>
      <c r="Q31" s="3"/>
      <c r="R31" s="3"/>
      <c r="AK31"/>
      <c r="AL31"/>
    </row>
    <row r="32" spans="1:40" ht="15.75" hidden="1" thickBot="1" x14ac:dyDescent="0.3">
      <c r="B32" s="76">
        <v>7</v>
      </c>
      <c r="C32" s="78">
        <v>40</v>
      </c>
      <c r="D32" s="78">
        <v>55</v>
      </c>
      <c r="E32" s="79">
        <v>0.5</v>
      </c>
      <c r="G32" s="76">
        <v>8</v>
      </c>
      <c r="H32" s="77">
        <v>0.1</v>
      </c>
      <c r="Q32" s="3"/>
      <c r="R32" s="3"/>
      <c r="AK32"/>
      <c r="AL32"/>
    </row>
    <row r="33" spans="1:38" ht="15.75" hidden="1" thickBot="1" x14ac:dyDescent="0.3">
      <c r="B33" s="76">
        <v>8</v>
      </c>
      <c r="C33" s="78">
        <v>30</v>
      </c>
      <c r="D33" s="78">
        <v>40</v>
      </c>
      <c r="E33" s="79">
        <v>0.1</v>
      </c>
      <c r="H33" s="79"/>
      <c r="Q33" s="3"/>
      <c r="R33" s="3"/>
      <c r="AK33"/>
      <c r="AL33"/>
    </row>
    <row r="34" spans="1:38" ht="15.75" hidden="1" thickBot="1" x14ac:dyDescent="0.3">
      <c r="B34" s="76" t="s">
        <v>38</v>
      </c>
      <c r="C34" s="78">
        <v>0</v>
      </c>
      <c r="D34" s="78">
        <v>0</v>
      </c>
      <c r="E34" s="79">
        <v>0</v>
      </c>
      <c r="G34"/>
    </row>
    <row r="35" spans="1:38" hidden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3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3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3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3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3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3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3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3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3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3" customFormat="1" x14ac:dyDescent="0.25"/>
    <row r="56" spans="1:18" s="3" customFormat="1" x14ac:dyDescent="0.25"/>
    <row r="57" spans="1:18" s="3" customFormat="1" x14ac:dyDescent="0.25"/>
    <row r="58" spans="1:18" s="3" customFormat="1" x14ac:dyDescent="0.25"/>
    <row r="59" spans="1:18" s="3" customFormat="1" x14ac:dyDescent="0.25"/>
    <row r="60" spans="1:18" s="3" customFormat="1" x14ac:dyDescent="0.25"/>
    <row r="61" spans="1:18" s="3" customFormat="1" x14ac:dyDescent="0.25"/>
    <row r="62" spans="1:18" s="3" customFormat="1" x14ac:dyDescent="0.25"/>
    <row r="63" spans="1:18" s="3" customFormat="1" x14ac:dyDescent="0.25"/>
    <row r="64" spans="1:1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</sheetData>
  <sheetProtection algorithmName="SHA-512" hashValue="qSPW9aZtu6YcPuUPo+phi3CrExqP2+gvcvNkbtL8T9IF3+gRwO6IIirr0iS8lhMSj7F/J4xOJfeoj2kvqC54dg==" saltValue="69UMuBEtZTwRHteipt8HVg==" spinCount="100000" sheet="1" objects="1" scenarios="1"/>
  <mergeCells count="4">
    <mergeCell ref="A13:F13"/>
    <mergeCell ref="K13:Q13"/>
    <mergeCell ref="A15:E15"/>
    <mergeCell ref="K15:P15"/>
  </mergeCells>
  <dataValidations count="2">
    <dataValidation type="list" allowBlank="1" showInputMessage="1" showErrorMessage="1" sqref="D3:E4 K3:M4" xr:uid="{0DC0591B-1388-410A-BF6C-566E6014BCBC}">
      <formula1>$V$3:$V$4</formula1>
    </dataValidation>
    <dataValidation type="list" allowBlank="1" showInputMessage="1" showErrorMessage="1" sqref="F3:F4" xr:uid="{C0328AAB-65C5-4D18-BCA4-C8A768A19461}">
      <formula1>$G$25:$G$32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634B-8FDF-48A8-BFF1-A2A37A03D579}">
  <sheetPr>
    <pageSetUpPr fitToPage="1"/>
  </sheetPr>
  <dimension ref="A1:L31"/>
  <sheetViews>
    <sheetView workbookViewId="0">
      <selection activeCell="J14" sqref="J14"/>
    </sheetView>
  </sheetViews>
  <sheetFormatPr defaultRowHeight="15" x14ac:dyDescent="0.25"/>
  <cols>
    <col min="2" max="2" width="12.5703125" customWidth="1"/>
    <col min="12" max="12" width="43.42578125" customWidth="1"/>
  </cols>
  <sheetData>
    <row r="1" spans="1:12" ht="87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8" t="s">
        <v>60</v>
      </c>
    </row>
    <row r="2" spans="1:12" ht="15.75" customHeight="1" thickBot="1" x14ac:dyDescent="0.3">
      <c r="A2" s="1"/>
      <c r="B2" s="115" t="s">
        <v>62</v>
      </c>
      <c r="C2" s="116"/>
      <c r="D2" s="116"/>
      <c r="E2" s="116"/>
      <c r="F2" s="116"/>
      <c r="G2" s="116"/>
      <c r="H2" s="116"/>
      <c r="I2" s="116"/>
      <c r="J2" s="117"/>
      <c r="K2" s="1"/>
      <c r="L2" s="118"/>
    </row>
    <row r="3" spans="1:12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8"/>
    </row>
    <row r="4" spans="1:12" ht="15" customHeight="1" x14ac:dyDescent="0.25">
      <c r="A4" s="1"/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"/>
      <c r="L4" s="118"/>
    </row>
    <row r="5" spans="1:12" ht="15" customHeight="1" x14ac:dyDescent="0.25">
      <c r="A5" s="119" t="s">
        <v>57</v>
      </c>
      <c r="B5" s="96" t="s">
        <v>48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1"/>
      <c r="L5" s="118"/>
    </row>
    <row r="6" spans="1:12" ht="15" customHeight="1" x14ac:dyDescent="0.25">
      <c r="A6" s="119"/>
      <c r="B6" s="7">
        <v>1</v>
      </c>
      <c r="C6" s="93">
        <v>5.88</v>
      </c>
      <c r="D6" s="93">
        <v>5.78</v>
      </c>
      <c r="E6" s="93">
        <v>5.62</v>
      </c>
      <c r="F6" s="93">
        <v>5.51</v>
      </c>
      <c r="G6" s="93">
        <v>5.3</v>
      </c>
      <c r="H6" s="93">
        <v>4.82</v>
      </c>
      <c r="I6" s="93">
        <v>4.42</v>
      </c>
      <c r="J6" s="93">
        <v>1.03</v>
      </c>
      <c r="K6" s="1"/>
      <c r="L6" s="118"/>
    </row>
    <row r="7" spans="1:12" ht="15" customHeight="1" x14ac:dyDescent="0.25">
      <c r="A7" s="119"/>
      <c r="B7" s="7">
        <v>2</v>
      </c>
      <c r="C7" s="93">
        <v>6.35</v>
      </c>
      <c r="D7" s="93">
        <v>6.24</v>
      </c>
      <c r="E7" s="93">
        <v>6.07</v>
      </c>
      <c r="F7" s="93">
        <v>5.95</v>
      </c>
      <c r="G7" s="93">
        <v>5.72</v>
      </c>
      <c r="H7" s="93">
        <v>5.2</v>
      </c>
      <c r="I7" s="93">
        <v>4.78</v>
      </c>
      <c r="J7" s="93">
        <v>1.1100000000000001</v>
      </c>
      <c r="K7" s="1"/>
      <c r="L7" s="118"/>
    </row>
    <row r="8" spans="1:12" ht="15" customHeight="1" x14ac:dyDescent="0.25">
      <c r="A8" s="119"/>
      <c r="B8" s="7">
        <v>3</v>
      </c>
      <c r="C8" s="93">
        <v>7.22</v>
      </c>
      <c r="D8" s="93">
        <v>7.09</v>
      </c>
      <c r="E8" s="93">
        <v>6.89</v>
      </c>
      <c r="F8" s="93">
        <v>6.76</v>
      </c>
      <c r="G8" s="93">
        <v>6.5</v>
      </c>
      <c r="H8" s="93">
        <v>5.91</v>
      </c>
      <c r="I8" s="93">
        <v>5.43</v>
      </c>
      <c r="J8" s="93">
        <v>1.27</v>
      </c>
      <c r="K8" s="1"/>
      <c r="L8" s="118"/>
    </row>
    <row r="9" spans="1:12" ht="15" customHeight="1" x14ac:dyDescent="0.25">
      <c r="A9" s="119"/>
      <c r="B9" s="7">
        <v>4</v>
      </c>
      <c r="C9" s="93">
        <v>7.94</v>
      </c>
      <c r="D9" s="93">
        <v>7.8</v>
      </c>
      <c r="E9" s="93">
        <v>7.58</v>
      </c>
      <c r="F9" s="93">
        <v>7.44</v>
      </c>
      <c r="G9" s="93">
        <v>7.15</v>
      </c>
      <c r="H9" s="93">
        <v>6.5</v>
      </c>
      <c r="I9" s="93">
        <v>5.97</v>
      </c>
      <c r="J9" s="93">
        <v>1.39</v>
      </c>
      <c r="K9" s="1"/>
      <c r="L9" s="118"/>
    </row>
    <row r="10" spans="1:12" ht="15" customHeight="1" x14ac:dyDescent="0.25">
      <c r="A10" s="119"/>
      <c r="B10" s="7">
        <v>5</v>
      </c>
      <c r="C10" s="93">
        <v>9.93</v>
      </c>
      <c r="D10" s="93">
        <v>9.75</v>
      </c>
      <c r="E10" s="93">
        <v>9.48</v>
      </c>
      <c r="F10" s="93">
        <v>9.3000000000000007</v>
      </c>
      <c r="G10" s="93">
        <v>8.94</v>
      </c>
      <c r="H10" s="93">
        <v>8.1300000000000008</v>
      </c>
      <c r="I10" s="93">
        <v>7.47</v>
      </c>
      <c r="J10" s="93">
        <v>1.74</v>
      </c>
      <c r="K10" s="1"/>
      <c r="L10" s="118"/>
    </row>
    <row r="11" spans="1:12" ht="15" customHeight="1" x14ac:dyDescent="0.25">
      <c r="A11" s="119"/>
      <c r="B11" s="7">
        <v>6</v>
      </c>
      <c r="C11" s="93">
        <v>13.24</v>
      </c>
      <c r="D11" s="93">
        <v>13</v>
      </c>
      <c r="E11" s="93">
        <v>12.64</v>
      </c>
      <c r="F11" s="93">
        <v>12.4</v>
      </c>
      <c r="G11" s="93">
        <v>11.92</v>
      </c>
      <c r="H11" s="93">
        <v>10.84</v>
      </c>
      <c r="I11" s="93">
        <v>9.9600000000000009</v>
      </c>
      <c r="J11" s="93">
        <v>2.3199999999999998</v>
      </c>
      <c r="K11" s="1"/>
      <c r="L11" s="118"/>
    </row>
    <row r="12" spans="1:12" ht="15" customHeight="1" x14ac:dyDescent="0.25">
      <c r="A12" s="119"/>
      <c r="B12" s="7">
        <v>7</v>
      </c>
      <c r="C12" s="93">
        <v>15.89</v>
      </c>
      <c r="D12" s="93">
        <v>15.6</v>
      </c>
      <c r="E12" s="93">
        <v>15.17</v>
      </c>
      <c r="F12" s="93">
        <v>14.88</v>
      </c>
      <c r="G12" s="93">
        <v>14.3</v>
      </c>
      <c r="H12" s="93">
        <v>13</v>
      </c>
      <c r="I12" s="93">
        <v>11.95</v>
      </c>
      <c r="J12" s="93">
        <v>2.78</v>
      </c>
      <c r="K12" s="1"/>
      <c r="L12" s="118"/>
    </row>
    <row r="13" spans="1:12" ht="15" customHeight="1" x14ac:dyDescent="0.25">
      <c r="A13" s="119"/>
      <c r="B13" s="7">
        <v>8</v>
      </c>
      <c r="C13" s="93">
        <v>79.44</v>
      </c>
      <c r="D13" s="93">
        <v>78</v>
      </c>
      <c r="E13" s="93">
        <v>75.84</v>
      </c>
      <c r="F13" s="93">
        <v>74.400000000000006</v>
      </c>
      <c r="G13" s="93">
        <v>71.52</v>
      </c>
      <c r="H13" s="93">
        <v>65.010000000000005</v>
      </c>
      <c r="I13" s="93">
        <v>59.73</v>
      </c>
      <c r="J13" s="93">
        <v>13.92</v>
      </c>
      <c r="K13" s="1"/>
      <c r="L13" s="118"/>
    </row>
    <row r="14" spans="1:12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18"/>
    </row>
    <row r="15" spans="1:12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18"/>
    </row>
    <row r="16" spans="1:12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18"/>
    </row>
    <row r="17" spans="1:12" ht="1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18"/>
    </row>
    <row r="18" spans="1:12" ht="15" customHeight="1" x14ac:dyDescent="0.25">
      <c r="L18" s="97"/>
    </row>
    <row r="19" spans="1:12" ht="15" customHeight="1" x14ac:dyDescent="0.25">
      <c r="L19" s="97"/>
    </row>
    <row r="20" spans="1:12" ht="15" customHeight="1" x14ac:dyDescent="0.25">
      <c r="L20" s="97"/>
    </row>
    <row r="21" spans="1:12" ht="15" customHeight="1" x14ac:dyDescent="0.25">
      <c r="L21" s="97"/>
    </row>
    <row r="22" spans="1:12" ht="15" customHeight="1" x14ac:dyDescent="0.25">
      <c r="L22" s="97"/>
    </row>
    <row r="23" spans="1:12" ht="15" customHeight="1" x14ac:dyDescent="0.25">
      <c r="L23" s="97"/>
    </row>
    <row r="24" spans="1:12" ht="15" customHeight="1" x14ac:dyDescent="0.25">
      <c r="L24" s="97"/>
    </row>
    <row r="25" spans="1:12" ht="15" customHeight="1" x14ac:dyDescent="0.25">
      <c r="L25" s="97"/>
    </row>
    <row r="26" spans="1:12" ht="15" customHeight="1" x14ac:dyDescent="0.25">
      <c r="L26" s="97"/>
    </row>
    <row r="27" spans="1:12" ht="15" customHeight="1" x14ac:dyDescent="0.25">
      <c r="L27" s="97"/>
    </row>
    <row r="28" spans="1:12" x14ac:dyDescent="0.25">
      <c r="L28" s="1"/>
    </row>
    <row r="29" spans="1:12" x14ac:dyDescent="0.25">
      <c r="L29" s="1"/>
    </row>
    <row r="30" spans="1:12" x14ac:dyDescent="0.25">
      <c r="L30" s="1"/>
    </row>
    <row r="31" spans="1:12" x14ac:dyDescent="0.25">
      <c r="L31" s="92"/>
    </row>
  </sheetData>
  <sheetProtection algorithmName="SHA-512" hashValue="cCYNVVrEC9jysvafGzZGPQccr+lUMBwCKU8Hb+WzXnJeJVpbiVocu1gdIhO9Mi9ZTqZdh470zCtMrL6qdEZ4WQ==" saltValue="z+0Q0U2PzCLorerjtAXqUA==" spinCount="100000" sheet="1" objects="1" scenarios="1"/>
  <mergeCells count="4">
    <mergeCell ref="L1:L17"/>
    <mergeCell ref="B2:J2"/>
    <mergeCell ref="B4:J4"/>
    <mergeCell ref="A5:A13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929043105CB4EB1DADBD02EF61FCD" ma:contentTypeVersion="11" ma:contentTypeDescription="Create a new document." ma:contentTypeScope="" ma:versionID="9788204db7464fcdb40c866006e85228">
  <xsd:schema xmlns:xsd="http://www.w3.org/2001/XMLSchema" xmlns:xs="http://www.w3.org/2001/XMLSchema" xmlns:p="http://schemas.microsoft.com/office/2006/metadata/properties" xmlns:ns2="f55eb448-1a4a-49f0-8699-48d1ea667fd6" targetNamespace="http://schemas.microsoft.com/office/2006/metadata/properties" ma:root="true" ma:fieldsID="9596ad3db835f6d373d1e34994f8927d" ns2:_="">
    <xsd:import namespace="f55eb448-1a4a-49f0-8699-48d1ea667f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eb448-1a4a-49f0-8699-48d1ea667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A50C47-417B-4320-A73A-0A0FFA48508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e7766284-6f35-44c9-8d37-ecb75eb5de3b"/>
    <ds:schemaRef ds:uri="61230179-4f59-4744-8324-9d21cca5667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38691C-FE4E-49AE-980E-41EBD898C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6DBA6-B1DD-431D-AB13-00A20B20A6F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 Input Data</vt:lpstr>
      <vt:lpstr>General 51-30 Benefit Table</vt:lpstr>
      <vt:lpstr>Contractor Input Data</vt:lpstr>
      <vt:lpstr>Contractor 51-35 Benefit Table</vt:lpstr>
      <vt:lpstr>BEP Input Data</vt:lpstr>
      <vt:lpstr>BEP 51-35 Benefit Table</vt:lpstr>
      <vt:lpstr>'BEP 51-35 Benefit Table'!Print_Area</vt:lpstr>
      <vt:lpstr>'Contractor 51-35 Benefit Table'!Print_Area</vt:lpstr>
      <vt:lpstr>'General 51-30 Benefit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Rankin</dc:creator>
  <cp:lastModifiedBy>John Rankin</cp:lastModifiedBy>
  <dcterms:created xsi:type="dcterms:W3CDTF">2019-08-19T07:26:06Z</dcterms:created>
  <dcterms:modified xsi:type="dcterms:W3CDTF">2021-10-27T05:51:47Z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0x010100D9E929043105CB4EB1DADBD02EF61FCD</vt:lpwstr>
  </property>
</Properties>
</file>